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00" windowHeight="13780" tabRatio="860" activeTab="0"/>
  </bookViews>
  <sheets>
    <sheet name="一级AO工艺设计" sheetId="1" r:id="rId1"/>
  </sheets>
  <definedNames/>
  <calcPr fullCalcOnLoad="1"/>
</workbook>
</file>

<file path=xl/comments1.xml><?xml version="1.0" encoding="utf-8"?>
<comments xmlns="http://schemas.openxmlformats.org/spreadsheetml/2006/main">
  <authors>
    <author>GQHB</author>
    <author>wuhong</author>
    <author>吴洪</author>
  </authors>
  <commentList>
    <comment ref="D30" authorId="0">
      <text>
        <r>
          <rPr>
            <b/>
            <sz val="9"/>
            <rFont val="宋体"/>
            <family val="0"/>
          </rPr>
          <t>GQHB:</t>
        </r>
        <r>
          <rPr>
            <sz val="9"/>
            <rFont val="宋体"/>
            <family val="0"/>
          </rPr>
          <t xml:space="preserve">
Na实际表示硝化池内的氨氮浓度，设计按出水氨氮设计。Kn为硝化作用半速率常数，一般为1mg/l</t>
        </r>
      </text>
    </comment>
    <comment ref="D29" authorId="0">
      <text>
        <r>
          <rPr>
            <b/>
            <sz val="9"/>
            <rFont val="宋体"/>
            <family val="0"/>
          </rPr>
          <t>GQHB:</t>
        </r>
        <r>
          <rPr>
            <sz val="9"/>
            <rFont val="宋体"/>
            <family val="0"/>
          </rPr>
          <t xml:space="preserve">
Ko范围0.25~2.46,一般1.0mg/l
</t>
        </r>
      </text>
    </comment>
    <comment ref="J10" authorId="1">
      <text>
        <r>
          <rPr>
            <b/>
            <sz val="9"/>
            <rFont val="宋体"/>
            <family val="0"/>
          </rPr>
          <t>wuhong:</t>
        </r>
        <r>
          <rPr>
            <sz val="9"/>
            <rFont val="宋体"/>
            <family val="0"/>
          </rPr>
          <t xml:space="preserve">
同化作用进入污泥中的氮按BOD</t>
        </r>
        <r>
          <rPr>
            <vertAlign val="subscript"/>
            <sz val="9"/>
            <rFont val="宋体"/>
            <family val="0"/>
          </rPr>
          <t>5</t>
        </r>
        <r>
          <rPr>
            <sz val="9"/>
            <rFont val="宋体"/>
            <family val="0"/>
          </rPr>
          <t xml:space="preserve"> 去除量的5%计，即0.05(S</t>
        </r>
        <r>
          <rPr>
            <vertAlign val="subscript"/>
            <sz val="9"/>
            <rFont val="宋体"/>
            <family val="0"/>
          </rPr>
          <t>0</t>
        </r>
        <r>
          <rPr>
            <sz val="9"/>
            <rFont val="宋体"/>
            <family val="0"/>
          </rPr>
          <t>-Se)</t>
        </r>
      </text>
    </comment>
    <comment ref="B13" authorId="2">
      <text>
        <r>
          <rPr>
            <b/>
            <sz val="9"/>
            <rFont val="宋体"/>
            <family val="0"/>
          </rPr>
          <t>吴洪:</t>
        </r>
        <r>
          <rPr>
            <sz val="9"/>
            <rFont val="宋体"/>
            <family val="0"/>
          </rPr>
          <t xml:space="preserve">
凯氏氮是指以基耶达（Kjeldahl）法测得的含氮量，它包括氨氮和在此条件下能转化为铵盐而被测定的有机氮化合物。此类有机氮化合物主要有蛋白质、氨基酸、肽、胨、核酸、尿素以及合成的氮为负三价形态的有机氮化合物，但不包括叠氮化合物，硝基化合物等。
在水处理领域，一般认为总氮=总凯氏氮+硝氮+亚硝氮，凯氏氮=有机氮+氨氮</t>
        </r>
      </text>
    </comment>
    <comment ref="C16" authorId="2">
      <text>
        <r>
          <rPr>
            <b/>
            <sz val="9"/>
            <rFont val="宋体"/>
            <family val="0"/>
          </rPr>
          <t>吴洪:</t>
        </r>
        <r>
          <rPr>
            <sz val="9"/>
            <rFont val="宋体"/>
            <family val="0"/>
          </rPr>
          <t xml:space="preserve">
pH＜6，易丝状菌繁殖，污泥膨胀；pH＞9，菌胶团解体；pH＜5.5无法生物除磷；pH=8.4硝化反应最快(大于9.6小于6硝化菌抑制，小于5停止硝化)</t>
        </r>
      </text>
    </comment>
    <comment ref="C18" authorId="2">
      <text>
        <r>
          <rPr>
            <b/>
            <sz val="9"/>
            <rFont val="宋体"/>
            <family val="0"/>
          </rPr>
          <t>吴洪:</t>
        </r>
        <r>
          <rPr>
            <sz val="9"/>
            <rFont val="宋体"/>
            <family val="0"/>
          </rPr>
          <t xml:space="preserve">
低于15℃，硝化菌明显抑制，设计按硝化最不利温度考虑。低于4℃完全停止，设计时应考虑构筑物保温。</t>
        </r>
      </text>
    </comment>
    <comment ref="L24" authorId="2">
      <text>
        <r>
          <rPr>
            <b/>
            <sz val="9"/>
            <rFont val="宋体"/>
            <family val="0"/>
          </rPr>
          <t>吴洪:</t>
        </r>
        <r>
          <rPr>
            <sz val="9"/>
            <rFont val="宋体"/>
            <family val="0"/>
          </rPr>
          <t xml:space="preserve">
分别对应四种曝气方式</t>
        </r>
      </text>
    </comment>
  </commentList>
</comments>
</file>

<file path=xl/sharedStrings.xml><?xml version="1.0" encoding="utf-8"?>
<sst xmlns="http://schemas.openxmlformats.org/spreadsheetml/2006/main" count="309" uniqueCount="248">
  <si>
    <t>名称</t>
  </si>
  <si>
    <t>单位</t>
  </si>
  <si>
    <t>数值</t>
  </si>
  <si>
    <t>kg/d</t>
  </si>
  <si>
    <t>mg/l</t>
  </si>
  <si>
    <t>元/吨</t>
  </si>
  <si>
    <t>序号</t>
  </si>
  <si>
    <t>备注</t>
  </si>
  <si>
    <t>碳源计算</t>
  </si>
  <si>
    <t>需消耗外加碳源对应氮量N</t>
  </si>
  <si>
    <t>处理水量Q</t>
  </si>
  <si>
    <t>公式</t>
  </si>
  <si>
    <t>根据水质，需要实验确定</t>
  </si>
  <si>
    <t>污泥浓度（MLSS）</t>
  </si>
  <si>
    <t>kgMLVSS/kgBOD</t>
  </si>
  <si>
    <t>序号</t>
  </si>
  <si>
    <t>备注</t>
  </si>
  <si>
    <t>名称</t>
  </si>
  <si>
    <t>mg/l</t>
  </si>
  <si>
    <t>倍</t>
  </si>
  <si>
    <t>无量纲</t>
  </si>
  <si>
    <t>SS</t>
  </si>
  <si>
    <t>TN</t>
  </si>
  <si>
    <t>三、脱氮除磷计算数据</t>
  </si>
  <si>
    <t>公式</t>
  </si>
  <si>
    <t>硝化菌最大比增长速率</t>
  </si>
  <si>
    <t>硝化菌比增长速率</t>
  </si>
  <si>
    <t>安全系数</t>
  </si>
  <si>
    <t>F</t>
  </si>
  <si>
    <t>d</t>
  </si>
  <si>
    <t>一般1.5-3</t>
  </si>
  <si>
    <r>
      <t>20摄氏度</t>
    </r>
    <r>
      <rPr>
        <sz val="10"/>
        <rFont val="宋体"/>
        <family val="0"/>
      </rPr>
      <t>活性污泥自身氧化系数（硝化）</t>
    </r>
  </si>
  <si>
    <t>硝化菌自身氧化系数修正</t>
  </si>
  <si>
    <t>最小硝化泥龄</t>
  </si>
  <si>
    <t>设计
数据</t>
  </si>
  <si>
    <t>名称</t>
  </si>
  <si>
    <t>出水</t>
  </si>
  <si>
    <t>单位</t>
  </si>
  <si>
    <t>进水（或进水参数）</t>
  </si>
  <si>
    <t>（二）缺氧池（反硝化池）设计计算</t>
  </si>
  <si>
    <t>（一）好氧池（硝化池）设计计算</t>
  </si>
  <si>
    <t>（三）厌氧池（除磷）设计计算</t>
  </si>
  <si>
    <t>（四）剩余污泥（排泥量）设计计算</t>
  </si>
  <si>
    <t>mg/l</t>
  </si>
  <si>
    <t>二、水质等参数设定</t>
  </si>
  <si>
    <t>%</t>
  </si>
  <si>
    <t>剩余污泥量合计</t>
  </si>
  <si>
    <t>倍</t>
  </si>
  <si>
    <t>挥发活性组份比例</t>
  </si>
  <si>
    <t>%</t>
  </si>
  <si>
    <t>缺氧池容积</t>
  </si>
  <si>
    <t>缺氧池停留时间</t>
  </si>
  <si>
    <t>h</t>
  </si>
  <si>
    <r>
      <t>生活污水变化系数
理论值计算Kz</t>
    </r>
    <r>
      <rPr>
        <b/>
        <vertAlign val="subscript"/>
        <sz val="10"/>
        <rFont val="宋体"/>
        <family val="0"/>
      </rPr>
      <t>0</t>
    </r>
  </si>
  <si>
    <t>d</t>
  </si>
  <si>
    <t>℃</t>
  </si>
  <si>
    <t>设计温度</t>
  </si>
  <si>
    <t>h</t>
  </si>
  <si>
    <t>厌氧池容积</t>
  </si>
  <si>
    <r>
      <t>d</t>
    </r>
    <r>
      <rPr>
        <vertAlign val="superscript"/>
        <sz val="10"/>
        <rFont val="宋体"/>
        <family val="0"/>
      </rPr>
      <t>-1</t>
    </r>
  </si>
  <si>
    <r>
      <t>d</t>
    </r>
    <r>
      <rPr>
        <vertAlign val="superscript"/>
        <sz val="10"/>
        <rFont val="宋体"/>
        <family val="0"/>
      </rPr>
      <t>-1</t>
    </r>
  </si>
  <si>
    <t>kg/d</t>
  </si>
  <si>
    <r>
      <t>BOD</t>
    </r>
    <r>
      <rPr>
        <vertAlign val="subscript"/>
        <sz val="10"/>
        <rFont val="宋体"/>
        <family val="0"/>
      </rPr>
      <t>5</t>
    </r>
  </si>
  <si>
    <r>
      <t>NH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-N</t>
    </r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</si>
  <si>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</si>
  <si>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</si>
  <si>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/d</t>
    </r>
  </si>
  <si>
    <r>
      <t>好氧池容积
V</t>
    </r>
    <r>
      <rPr>
        <b/>
        <vertAlign val="subscript"/>
        <sz val="10"/>
        <rFont val="宋体"/>
        <family val="0"/>
      </rPr>
      <t>O</t>
    </r>
    <r>
      <rPr>
        <b/>
        <sz val="10"/>
        <rFont val="宋体"/>
        <family val="0"/>
      </rPr>
      <t>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</si>
  <si>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t>一般0.7-0.8</t>
  </si>
  <si>
    <t>mg/l</t>
  </si>
  <si>
    <t>反硝化碳源投加计算</t>
  </si>
  <si>
    <t>碳源投加量</t>
  </si>
  <si>
    <t>碳源理论投加费用</t>
  </si>
  <si>
    <r>
      <t>TN</t>
    </r>
    <r>
      <rPr>
        <vertAlign val="subscript"/>
        <sz val="10"/>
        <rFont val="宋体"/>
        <family val="0"/>
      </rPr>
      <t>k</t>
    </r>
  </si>
  <si>
    <t>好氧池容积</t>
  </si>
  <si>
    <r>
      <rPr>
        <sz val="10"/>
        <rFont val="Calibri"/>
        <family val="2"/>
      </rPr>
      <t>μ</t>
    </r>
    <r>
      <rPr>
        <vertAlign val="subscript"/>
        <sz val="10"/>
        <rFont val="宋体"/>
        <family val="0"/>
      </rPr>
      <t>m15</t>
    </r>
    <r>
      <rPr>
        <sz val="10"/>
        <rFont val="宋体"/>
        <family val="0"/>
      </rPr>
      <t>为硝化菌比生长速率，</t>
    </r>
    <r>
      <rPr>
        <sz val="10"/>
        <rFont val="宋体"/>
        <family val="0"/>
      </rPr>
      <t>取0.4-0.5,一般0.47或0.45</t>
    </r>
  </si>
  <si>
    <t>kgMLSS/kgBOD</t>
  </si>
  <si>
    <t>活性污泥法取：2500-4500；</t>
  </si>
  <si>
    <r>
      <rPr>
        <sz val="12"/>
        <rFont val="Calibri"/>
        <family val="2"/>
      </rPr>
      <t>μ</t>
    </r>
    <r>
      <rPr>
        <vertAlign val="subscript"/>
        <sz val="10"/>
        <rFont val="宋体"/>
        <family val="0"/>
      </rPr>
      <t>N(T)</t>
    </r>
    <r>
      <rPr>
        <sz val="10"/>
        <rFont val="宋体"/>
        <family val="0"/>
      </rPr>
      <t>=</t>
    </r>
    <r>
      <rPr>
        <sz val="10"/>
        <rFont val="Calibri"/>
        <family val="2"/>
      </rPr>
      <t>μ</t>
    </r>
    <r>
      <rPr>
        <vertAlign val="subscript"/>
        <sz val="10"/>
        <rFont val="宋体"/>
        <family val="0"/>
      </rPr>
      <t>Nmax</t>
    </r>
    <r>
      <rPr>
        <sz val="10"/>
        <rFont val="宋体"/>
        <family val="0"/>
      </rPr>
      <t>*</t>
    </r>
  </si>
  <si>
    <r>
      <t>V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=</t>
    </r>
  </si>
  <si>
    <r>
      <t>K</t>
    </r>
    <r>
      <rPr>
        <vertAlign val="subscript"/>
        <sz val="10"/>
        <rFont val="宋体"/>
        <family val="0"/>
      </rPr>
      <t>dN（T）</t>
    </r>
    <r>
      <rPr>
        <sz val="10"/>
        <rFont val="宋体"/>
        <family val="0"/>
      </rPr>
      <t>=K</t>
    </r>
    <r>
      <rPr>
        <vertAlign val="subscript"/>
        <sz val="10"/>
        <rFont val="宋体"/>
        <family val="0"/>
      </rPr>
      <t>dN20</t>
    </r>
    <r>
      <rPr>
        <sz val="10"/>
        <rFont val="宋体"/>
        <family val="0"/>
      </rPr>
      <t>*1.05</t>
    </r>
    <r>
      <rPr>
        <vertAlign val="superscript"/>
        <sz val="10"/>
        <rFont val="宋体"/>
        <family val="0"/>
      </rPr>
      <t>(T-20)</t>
    </r>
  </si>
  <si>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min</t>
    </r>
    <r>
      <rPr>
        <sz val="10"/>
        <rFont val="宋体"/>
        <family val="0"/>
      </rPr>
      <t>=</t>
    </r>
  </si>
  <si>
    <r>
      <t>m</t>
    </r>
    <r>
      <rPr>
        <vertAlign val="superscript"/>
        <sz val="10"/>
        <rFont val="宋体"/>
        <family val="0"/>
      </rPr>
      <t>3</t>
    </r>
  </si>
  <si>
    <r>
      <t>Ns</t>
    </r>
    <r>
      <rPr>
        <vertAlign val="subscript"/>
        <sz val="10"/>
        <rFont val="宋体"/>
        <family val="0"/>
      </rPr>
      <t>(N)</t>
    </r>
    <r>
      <rPr>
        <sz val="10"/>
        <rFont val="宋体"/>
        <family val="0"/>
      </rPr>
      <t>=</t>
    </r>
  </si>
  <si>
    <r>
      <t>Ns</t>
    </r>
    <r>
      <rPr>
        <vertAlign val="subscript"/>
        <sz val="10"/>
        <rFont val="宋体"/>
        <family val="0"/>
      </rPr>
      <t>(C)</t>
    </r>
    <r>
      <rPr>
        <sz val="10"/>
        <rFont val="宋体"/>
        <family val="0"/>
      </rPr>
      <t>=</t>
    </r>
  </si>
  <si>
    <t>B/C比</t>
  </si>
  <si>
    <r>
      <t>污泥总产率系数（硝化）</t>
    </r>
    <r>
      <rPr>
        <sz val="10"/>
        <color indexed="10"/>
        <rFont val="宋体"/>
        <family val="0"/>
      </rPr>
      <t>（*重要参数）</t>
    </r>
  </si>
  <si>
    <t>1.08为温度系数，参考：
设计院一般为0.09-1.15；
规范取值1.08</t>
  </si>
  <si>
    <t>排出生物反应池系统的微生物量</t>
  </si>
  <si>
    <t>kgMLVSS/d</t>
  </si>
  <si>
    <t>生活污水0.5-0.65，其它范围0.4~0.8,一般0.6。
无资料时0.3-0.6</t>
  </si>
  <si>
    <r>
      <t>污泥产率系数（反硝化）</t>
    </r>
    <r>
      <rPr>
        <sz val="10"/>
        <color indexed="10"/>
        <rFont val="宋体"/>
        <family val="0"/>
      </rPr>
      <t>（*重要参数）</t>
    </r>
  </si>
  <si>
    <r>
      <rPr>
        <sz val="10"/>
        <rFont val="Calibri"/>
        <family val="2"/>
      </rPr>
      <t>μ</t>
    </r>
    <r>
      <rPr>
        <vertAlign val="subscript"/>
        <sz val="10"/>
        <rFont val="宋体"/>
        <family val="0"/>
      </rPr>
      <t>Nmax</t>
    </r>
    <r>
      <rPr>
        <sz val="10"/>
        <rFont val="宋体"/>
        <family val="0"/>
      </rPr>
      <t>=</t>
    </r>
    <r>
      <rPr>
        <sz val="10"/>
        <rFont val="Calibri"/>
        <family val="2"/>
      </rPr>
      <t>μ</t>
    </r>
    <r>
      <rPr>
        <vertAlign val="subscript"/>
        <sz val="10"/>
        <rFont val="宋体"/>
        <family val="0"/>
      </rPr>
      <t>m15</t>
    </r>
    <r>
      <rPr>
        <sz val="10"/>
        <rFont val="宋体"/>
        <family val="0"/>
      </rPr>
      <t>*e</t>
    </r>
    <r>
      <rPr>
        <vertAlign val="superscript"/>
        <sz val="10"/>
        <rFont val="宋体"/>
        <family val="0"/>
      </rPr>
      <t>0.098*（Te-15）</t>
    </r>
  </si>
  <si>
    <r>
      <t>出水总氮N</t>
    </r>
    <r>
      <rPr>
        <vertAlign val="subscript"/>
        <sz val="10"/>
        <rFont val="宋体"/>
        <family val="0"/>
      </rPr>
      <t>te</t>
    </r>
  </si>
  <si>
    <t>好氧池停留时间</t>
  </si>
  <si>
    <r>
      <t>T</t>
    </r>
    <r>
      <rPr>
        <vertAlign val="subscript"/>
        <sz val="10"/>
        <rFont val="宋体"/>
        <family val="0"/>
      </rPr>
      <t>o</t>
    </r>
    <r>
      <rPr>
        <sz val="10"/>
        <rFont val="宋体"/>
        <family val="0"/>
      </rPr>
      <t>=</t>
    </r>
  </si>
  <si>
    <r>
      <t>T</t>
    </r>
    <r>
      <rPr>
        <vertAlign val="subscript"/>
        <sz val="10"/>
        <rFont val="宋体"/>
        <family val="0"/>
      </rPr>
      <t>A</t>
    </r>
    <r>
      <rPr>
        <sz val="10"/>
        <rFont val="宋体"/>
        <family val="0"/>
      </rPr>
      <t>=</t>
    </r>
  </si>
  <si>
    <t>温度T反硝化脱氮速率(反硝化负荷）</t>
  </si>
  <si>
    <t>硝化污泥龄</t>
  </si>
  <si>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CO</t>
    </r>
    <r>
      <rPr>
        <sz val="10"/>
        <rFont val="宋体"/>
        <family val="0"/>
      </rPr>
      <t>=F*</t>
    </r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min</t>
    </r>
  </si>
  <si>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CA</t>
    </r>
    <r>
      <rPr>
        <sz val="10"/>
        <rFont val="宋体"/>
        <family val="0"/>
      </rPr>
      <t>=</t>
    </r>
  </si>
  <si>
    <r>
      <t>V</t>
    </r>
    <r>
      <rPr>
        <vertAlign val="subscript"/>
        <sz val="10"/>
        <rFont val="宋体"/>
        <family val="0"/>
      </rPr>
      <t>n</t>
    </r>
    <r>
      <rPr>
        <sz val="10"/>
        <rFont val="宋体"/>
        <family val="0"/>
      </rPr>
      <t>=</t>
    </r>
  </si>
  <si>
    <r>
      <rPr>
        <sz val="10"/>
        <rFont val="Calibri"/>
        <family val="2"/>
      </rPr>
      <t>Δ</t>
    </r>
    <r>
      <rPr>
        <sz val="11.5"/>
        <rFont val="宋体"/>
        <family val="0"/>
      </rPr>
      <t>X</t>
    </r>
    <r>
      <rPr>
        <vertAlign val="subscript"/>
        <sz val="11.5"/>
        <rFont val="宋体"/>
        <family val="0"/>
      </rPr>
      <t>v</t>
    </r>
    <r>
      <rPr>
        <sz val="11.5"/>
        <rFont val="宋体"/>
        <family val="0"/>
      </rPr>
      <t>=Y</t>
    </r>
  </si>
  <si>
    <r>
      <t>整体BOD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污泥负荷</t>
    </r>
  </si>
  <si>
    <t>混合液回流量</t>
  </si>
  <si>
    <t>总氮负荷率</t>
  </si>
  <si>
    <t>总停留时间</t>
  </si>
  <si>
    <t>混合液回流比</t>
  </si>
  <si>
    <t>剩余总碱度</t>
  </si>
  <si>
    <t>挥发性污泥浓度（MLVSS）</t>
  </si>
  <si>
    <r>
      <t>Ns</t>
    </r>
    <r>
      <rPr>
        <vertAlign val="subscript"/>
        <sz val="10"/>
        <rFont val="宋体"/>
        <family val="0"/>
      </rPr>
      <t>(TN)</t>
    </r>
    <r>
      <rPr>
        <sz val="10"/>
        <rFont val="宋体"/>
        <family val="0"/>
      </rPr>
      <t>=</t>
    </r>
  </si>
  <si>
    <r>
      <t>Ns</t>
    </r>
    <r>
      <rPr>
        <vertAlign val="subscript"/>
        <sz val="10"/>
        <rFont val="宋体"/>
        <family val="0"/>
      </rPr>
      <t>(TO)</t>
    </r>
    <r>
      <rPr>
        <sz val="10"/>
        <rFont val="宋体"/>
        <family val="0"/>
      </rPr>
      <t>=</t>
    </r>
  </si>
  <si>
    <t>要求＜0.05，(未计剩余污泥排出带走的N)</t>
  </si>
  <si>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=</t>
    </r>
    <r>
      <rPr>
        <sz val="10"/>
        <rFont val="Calibri"/>
        <family val="2"/>
      </rPr>
      <t>θ</t>
    </r>
    <r>
      <rPr>
        <vertAlign val="subscript"/>
        <sz val="10"/>
        <rFont val="Calibri"/>
        <family val="2"/>
      </rPr>
      <t>CO</t>
    </r>
    <r>
      <rPr>
        <sz val="10"/>
        <rFont val="Calibri"/>
        <family val="2"/>
      </rPr>
      <t>+</t>
    </r>
    <r>
      <rPr>
        <sz val="10"/>
        <rFont val="Calibri"/>
        <family val="2"/>
      </rPr>
      <t>θ</t>
    </r>
    <r>
      <rPr>
        <vertAlign val="subscript"/>
        <sz val="10"/>
        <rFont val="Calibri"/>
        <family val="2"/>
      </rPr>
      <t>CA</t>
    </r>
  </si>
  <si>
    <r>
      <t>T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=T</t>
    </r>
    <r>
      <rPr>
        <vertAlign val="subscript"/>
        <sz val="10"/>
        <rFont val="宋体"/>
        <family val="0"/>
      </rPr>
      <t>O</t>
    </r>
    <r>
      <rPr>
        <sz val="10"/>
        <rFont val="宋体"/>
        <family val="0"/>
      </rPr>
      <t>+T</t>
    </r>
    <r>
      <rPr>
        <vertAlign val="subscript"/>
        <sz val="10"/>
        <rFont val="宋体"/>
        <family val="0"/>
      </rPr>
      <t>A</t>
    </r>
  </si>
  <si>
    <t>（三）A/O整体系统计算</t>
  </si>
  <si>
    <t>根据水质，需要实验确定；
有初沉：0.3-0.6；
无初沉：0.8-1.2；</t>
  </si>
  <si>
    <t>生活污水范围0.075-0.115,一般0.1；
垃圾渗滤液0.05-0.25；
规范：当无资料时，取0.03-0.06(回流量大取低值，有机物多取高值)</t>
  </si>
  <si>
    <t>kgTN/kgMLSS·d</t>
  </si>
  <si>
    <r>
      <t>kgBOD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/kgMLSS·d</t>
    </r>
  </si>
  <si>
    <r>
      <t>kgBOD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/kgMLVSS·d</t>
    </r>
  </si>
  <si>
    <r>
      <t>kgNO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-N/kgMLSS·d</t>
    </r>
  </si>
  <si>
    <r>
      <t>kgNH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-N/kgMLVSS·d</t>
    </r>
  </si>
  <si>
    <r>
      <t>Q</t>
    </r>
    <r>
      <rPr>
        <vertAlign val="subscript"/>
        <sz val="10"/>
        <rFont val="宋体"/>
        <family val="0"/>
      </rPr>
      <t>Ri</t>
    </r>
    <r>
      <rPr>
        <sz val="10"/>
        <rFont val="宋体"/>
        <family val="0"/>
      </rPr>
      <t>=</t>
    </r>
    <r>
      <rPr>
        <sz val="10"/>
        <rFont val="宋体"/>
        <family val="0"/>
      </rPr>
      <t xml:space="preserve">          - Q</t>
    </r>
    <r>
      <rPr>
        <vertAlign val="subscript"/>
        <sz val="10"/>
        <rFont val="宋体"/>
        <family val="0"/>
      </rPr>
      <t>R</t>
    </r>
  </si>
  <si>
    <t>缺氧搅拌单位功率</t>
  </si>
  <si>
    <t>规范:2-8;
美国手册:5-8</t>
  </si>
  <si>
    <r>
      <t>W/m</t>
    </r>
    <r>
      <rPr>
        <vertAlign val="superscript"/>
        <sz val="10"/>
        <rFont val="宋体"/>
        <family val="0"/>
      </rPr>
      <t>3</t>
    </r>
  </si>
  <si>
    <t>缺氧池搅拌机数量</t>
  </si>
  <si>
    <t>台</t>
  </si>
  <si>
    <t>kw</t>
  </si>
  <si>
    <t>n</t>
  </si>
  <si>
    <r>
      <t>P</t>
    </r>
    <r>
      <rPr>
        <vertAlign val="subscript"/>
        <sz val="10"/>
        <rFont val="宋体"/>
        <family val="0"/>
      </rPr>
      <t>1</t>
    </r>
  </si>
  <si>
    <r>
      <t>P</t>
    </r>
    <r>
      <rPr>
        <vertAlign val="subscript"/>
        <sz val="10"/>
        <rFont val="宋体"/>
        <family val="0"/>
      </rPr>
      <t>2</t>
    </r>
  </si>
  <si>
    <t>规范参考:0.05-0.10
（好氧+缺氧）</t>
  </si>
  <si>
    <r>
      <t>进出代号：S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，S</t>
    </r>
    <r>
      <rPr>
        <vertAlign val="subscript"/>
        <sz val="10"/>
        <rFont val="宋体"/>
        <family val="0"/>
      </rPr>
      <t>e</t>
    </r>
  </si>
  <si>
    <r>
      <t>进出代号：N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，N</t>
    </r>
    <r>
      <rPr>
        <vertAlign val="subscript"/>
        <sz val="10"/>
        <rFont val="宋体"/>
        <family val="0"/>
      </rPr>
      <t>te</t>
    </r>
  </si>
  <si>
    <r>
      <t>进出代号：N</t>
    </r>
    <r>
      <rPr>
        <vertAlign val="subscript"/>
        <sz val="10"/>
        <rFont val="宋体"/>
        <family val="0"/>
      </rPr>
      <t>k</t>
    </r>
    <r>
      <rPr>
        <sz val="10"/>
        <rFont val="宋体"/>
        <family val="0"/>
      </rPr>
      <t>，N</t>
    </r>
    <r>
      <rPr>
        <vertAlign val="subscript"/>
        <sz val="10"/>
        <rFont val="宋体"/>
        <family val="0"/>
      </rPr>
      <t>ke</t>
    </r>
  </si>
  <si>
    <r>
      <t>进出代号：N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，N</t>
    </r>
    <r>
      <rPr>
        <vertAlign val="subscript"/>
        <sz val="10"/>
        <rFont val="宋体"/>
        <family val="0"/>
      </rPr>
      <t>e</t>
    </r>
  </si>
  <si>
    <r>
      <t>COD</t>
    </r>
    <r>
      <rPr>
        <vertAlign val="subscript"/>
        <sz val="10"/>
        <rFont val="宋体"/>
        <family val="0"/>
      </rPr>
      <t>cr</t>
    </r>
  </si>
  <si>
    <r>
      <t>日平均流量Q(m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/d)</t>
    </r>
  </si>
  <si>
    <r>
      <t>缺氧池容积
V</t>
    </r>
    <r>
      <rPr>
        <b/>
        <vertAlign val="subscript"/>
        <sz val="10"/>
        <rFont val="宋体"/>
        <family val="0"/>
      </rPr>
      <t>n</t>
    </r>
    <r>
      <rPr>
        <b/>
        <sz val="10"/>
        <rFont val="宋体"/>
        <family val="0"/>
      </rPr>
      <t>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</si>
  <si>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r>
      <t>厌氧池容积
V</t>
    </r>
    <r>
      <rPr>
        <b/>
        <vertAlign val="subscript"/>
        <sz val="10"/>
        <rFont val="宋体"/>
        <family val="0"/>
      </rPr>
      <t>P</t>
    </r>
    <r>
      <rPr>
        <b/>
        <sz val="10"/>
        <rFont val="宋体"/>
        <family val="0"/>
      </rPr>
      <t>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</si>
  <si>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t>代号：Te</t>
  </si>
  <si>
    <t>代号：Yn</t>
  </si>
  <si>
    <t>代号：Y</t>
  </si>
  <si>
    <r>
      <t>代号：K</t>
    </r>
    <r>
      <rPr>
        <vertAlign val="subscript"/>
        <sz val="10"/>
        <rFont val="宋体"/>
        <family val="0"/>
      </rPr>
      <t>de(20)</t>
    </r>
  </si>
  <si>
    <r>
      <t>代号：K</t>
    </r>
    <r>
      <rPr>
        <vertAlign val="subscript"/>
        <sz val="10"/>
        <rFont val="宋体"/>
        <family val="0"/>
      </rPr>
      <t>dN20</t>
    </r>
  </si>
  <si>
    <t>代号：Xe</t>
  </si>
  <si>
    <t>代号：fvss</t>
  </si>
  <si>
    <t>代号：Xv</t>
  </si>
  <si>
    <t>污泥回流比</t>
  </si>
  <si>
    <t>污泥指数</t>
  </si>
  <si>
    <t>SVI</t>
  </si>
  <si>
    <t>回流污泥浓度</t>
  </si>
  <si>
    <t>r</t>
  </si>
  <si>
    <t>宜：50-150</t>
  </si>
  <si>
    <t>回流污泥量</t>
  </si>
  <si>
    <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/d</t>
    </r>
  </si>
  <si>
    <r>
      <t>Xr=</t>
    </r>
    <r>
      <rPr>
        <sz val="10"/>
        <rFont val="Calibri"/>
        <family val="2"/>
      </rPr>
      <t>γ</t>
    </r>
    <r>
      <rPr>
        <sz val="10"/>
        <rFont val="宋体"/>
        <family val="0"/>
      </rPr>
      <t>·</t>
    </r>
  </si>
  <si>
    <r>
      <t>Q</t>
    </r>
    <r>
      <rPr>
        <vertAlign val="subscript"/>
        <sz val="10"/>
        <rFont val="宋体"/>
        <family val="0"/>
      </rPr>
      <t>R</t>
    </r>
    <r>
      <rPr>
        <sz val="10"/>
        <rFont val="宋体"/>
        <family val="0"/>
      </rPr>
      <t>=r*Q</t>
    </r>
  </si>
  <si>
    <r>
      <rPr>
        <sz val="10"/>
        <rFont val="Calibri"/>
        <family val="2"/>
      </rPr>
      <t>γ</t>
    </r>
    <r>
      <rPr>
        <sz val="10"/>
        <rFont val="宋体"/>
        <family val="0"/>
      </rPr>
      <t>为相关系数，取1.0</t>
    </r>
    <r>
      <rPr>
        <sz val="10"/>
        <rFont val="宋体"/>
        <family val="0"/>
      </rPr>
      <t>-1.2</t>
    </r>
  </si>
  <si>
    <t>总回流比</t>
  </si>
  <si>
    <t>Ri=</t>
  </si>
  <si>
    <t>R=r+Ri</t>
  </si>
  <si>
    <t>系数a为缺氧段去除BOD后的折算系数，取值0.2-0.7</t>
  </si>
  <si>
    <t>a</t>
  </si>
  <si>
    <r>
      <t>代号：Alk</t>
    </r>
    <r>
      <rPr>
        <vertAlign val="subscript"/>
        <sz val="10"/>
        <color indexed="8"/>
        <rFont val="宋体"/>
        <family val="0"/>
      </rPr>
      <t>0</t>
    </r>
  </si>
  <si>
    <r>
      <t>Alk</t>
    </r>
    <r>
      <rPr>
        <vertAlign val="subscript"/>
        <sz val="10"/>
        <rFont val="宋体"/>
        <family val="0"/>
      </rPr>
      <t>e</t>
    </r>
    <r>
      <rPr>
        <sz val="10"/>
        <rFont val="宋体"/>
        <family val="0"/>
      </rPr>
      <t>=进水碱度Alk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+0.3*BOD去除量+3*反硝化脱氮量(以总氮计算)-7.14*硝化的氮量（以凯氏氮计算）</t>
    </r>
    <r>
      <rPr>
        <sz val="10"/>
        <rFont val="宋体"/>
        <family val="0"/>
      </rPr>
      <t>,</t>
    </r>
    <r>
      <rPr>
        <sz val="10"/>
        <color indexed="10"/>
        <rFont val="宋体"/>
        <family val="0"/>
      </rPr>
      <t>要求大于70</t>
    </r>
  </si>
  <si>
    <r>
      <t>进水总碱度
（以CaCO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计）</t>
    </r>
  </si>
  <si>
    <t>反硝化安全系数</t>
  </si>
  <si>
    <r>
      <t>F</t>
    </r>
    <r>
      <rPr>
        <vertAlign val="subscript"/>
        <sz val="10"/>
        <rFont val="宋体"/>
        <family val="0"/>
      </rPr>
      <t>N</t>
    </r>
  </si>
  <si>
    <t>厌氧池停留时间</t>
  </si>
  <si>
    <r>
      <t>t</t>
    </r>
    <r>
      <rPr>
        <vertAlign val="subscript"/>
        <sz val="10"/>
        <rFont val="宋体"/>
        <family val="0"/>
      </rPr>
      <t>p</t>
    </r>
  </si>
  <si>
    <t>宜：1-2h</t>
  </si>
  <si>
    <r>
      <t>V</t>
    </r>
    <r>
      <rPr>
        <vertAlign val="subscript"/>
        <sz val="10"/>
        <rFont val="宋体"/>
        <family val="0"/>
      </rPr>
      <t>P</t>
    </r>
    <r>
      <rPr>
        <sz val="10"/>
        <rFont val="宋体"/>
        <family val="0"/>
      </rPr>
      <t>=</t>
    </r>
  </si>
  <si>
    <r>
      <t>A</t>
    </r>
    <r>
      <rPr>
        <vertAlign val="subscript"/>
        <sz val="10"/>
        <rFont val="宋体"/>
        <family val="0"/>
      </rPr>
      <t>N</t>
    </r>
    <r>
      <rPr>
        <sz val="10"/>
        <rFont val="宋体"/>
        <family val="0"/>
      </rPr>
      <t>O宜：50-100%
A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O宜：20-100%</t>
    </r>
  </si>
  <si>
    <r>
      <t>设计可以向上取大值。
A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O宜≥200%</t>
    </r>
  </si>
  <si>
    <t>衰减系数</t>
  </si>
  <si>
    <r>
      <t>20℃K</t>
    </r>
    <r>
      <rPr>
        <vertAlign val="subscript"/>
        <sz val="10"/>
        <rFont val="宋体"/>
        <family val="0"/>
      </rPr>
      <t>d20</t>
    </r>
    <r>
      <rPr>
        <sz val="10"/>
        <rFont val="宋体"/>
        <family val="0"/>
      </rPr>
      <t>取0.06d</t>
    </r>
    <r>
      <rPr>
        <vertAlign val="superscript"/>
        <sz val="10"/>
        <rFont val="宋体"/>
        <family val="0"/>
      </rPr>
      <t>-1</t>
    </r>
    <r>
      <rPr>
        <sz val="10"/>
        <rFont val="宋体"/>
        <family val="0"/>
      </rPr>
      <t>；
温度系数</t>
    </r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为1.05；</t>
    </r>
  </si>
  <si>
    <t>二沉污泥含水率</t>
  </si>
  <si>
    <t>二沉排出剩余污泥量</t>
  </si>
  <si>
    <t>绝干重</t>
  </si>
  <si>
    <t>污泥浓缩池含水率</t>
  </si>
  <si>
    <r>
      <rPr>
        <sz val="10"/>
        <rFont val="Calibri"/>
        <family val="2"/>
      </rPr>
      <t>η</t>
    </r>
    <r>
      <rPr>
        <vertAlign val="subscript"/>
        <sz val="10"/>
        <rFont val="宋体"/>
        <family val="0"/>
      </rPr>
      <t>1</t>
    </r>
  </si>
  <si>
    <r>
      <rPr>
        <sz val="10"/>
        <rFont val="Calibri"/>
        <family val="2"/>
      </rPr>
      <t>η</t>
    </r>
    <r>
      <rPr>
        <vertAlign val="subscript"/>
        <sz val="10"/>
        <rFont val="宋体"/>
        <family val="0"/>
      </rPr>
      <t>2</t>
    </r>
  </si>
  <si>
    <t>硝化段污泥负荷
(校验)</t>
  </si>
  <si>
    <t>硝化负荷
(校验)</t>
  </si>
  <si>
    <t>单台搅拌机功率</t>
  </si>
  <si>
    <t>实际污泥龄
(校验)</t>
  </si>
  <si>
    <t>浓缩池排出剩余污泥量</t>
  </si>
  <si>
    <r>
      <t>Q</t>
    </r>
    <r>
      <rPr>
        <vertAlign val="subscript"/>
        <sz val="10"/>
        <rFont val="宋体"/>
        <family val="0"/>
      </rPr>
      <t>sse</t>
    </r>
  </si>
  <si>
    <t>含水率97%，去压滤机</t>
  </si>
  <si>
    <t>含水率99%，去浓缩池</t>
  </si>
  <si>
    <r>
      <t>进出代号：SS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，SS</t>
    </r>
    <r>
      <rPr>
        <vertAlign val="subscript"/>
        <sz val="10"/>
        <rFont val="宋体"/>
        <family val="0"/>
      </rPr>
      <t>e</t>
    </r>
  </si>
  <si>
    <t>TP</t>
  </si>
  <si>
    <t>PH</t>
  </si>
  <si>
    <r>
      <t>20摄氏度反硝化速率</t>
    </r>
    <r>
      <rPr>
        <sz val="10"/>
        <color indexed="10"/>
        <rFont val="宋体"/>
        <family val="0"/>
      </rPr>
      <t>（*重要参数）</t>
    </r>
  </si>
  <si>
    <r>
      <t>Na为生化池氨氮浓度，这里取出水氨氮作为设计值；
K</t>
    </r>
    <r>
      <rPr>
        <vertAlign val="subscript"/>
        <sz val="10"/>
        <rFont val="宋体"/>
        <family val="0"/>
      </rPr>
      <t>N</t>
    </r>
    <r>
      <rPr>
        <sz val="10"/>
        <rFont val="宋体"/>
        <family val="0"/>
      </rPr>
      <t>一般</t>
    </r>
    <r>
      <rPr>
        <sz val="10"/>
        <rFont val="宋体"/>
        <family val="0"/>
      </rPr>
      <t>取1</t>
    </r>
    <r>
      <rPr>
        <sz val="10"/>
        <rFont val="宋体"/>
        <family val="0"/>
      </rPr>
      <t>mg/l；</t>
    </r>
  </si>
  <si>
    <t>去除硝化菌自身氧化量</t>
  </si>
  <si>
    <t>缺氧段BOD去除系数</t>
  </si>
  <si>
    <t>要求≤0.18</t>
  </si>
  <si>
    <r>
      <t>缺氧段BOD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去除率=100*(1-a)%，，系数a为缺氧段去除BOD后的折算系数，可取0.2-0.85</t>
    </r>
  </si>
  <si>
    <t>反硝化段污泥龄
(校验)</t>
  </si>
  <si>
    <t>反硝化段污泥负荷
(校验)</t>
  </si>
  <si>
    <r>
      <t>Ns</t>
    </r>
    <r>
      <rPr>
        <vertAlign val="subscript"/>
        <sz val="10"/>
        <rFont val="宋体"/>
        <family val="0"/>
      </rPr>
      <t>(CN)</t>
    </r>
    <r>
      <rPr>
        <sz val="10"/>
        <rFont val="宋体"/>
        <family val="0"/>
      </rPr>
      <t>=</t>
    </r>
  </si>
  <si>
    <r>
      <rPr>
        <sz val="10"/>
        <rFont val="Calibri"/>
        <family val="2"/>
      </rPr>
      <t>Δ</t>
    </r>
    <r>
      <rPr>
        <sz val="10"/>
        <rFont val="Calibri"/>
        <family val="2"/>
      </rPr>
      <t>X=YQ</t>
    </r>
    <r>
      <rPr>
        <sz val="10"/>
        <rFont val="宋体"/>
        <family val="0"/>
      </rPr>
      <t>(</t>
    </r>
    <r>
      <rPr>
        <sz val="10"/>
        <rFont val="Calibri"/>
        <family val="2"/>
      </rPr>
      <t>S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-S</t>
    </r>
    <r>
      <rPr>
        <vertAlign val="subscript"/>
        <sz val="10"/>
        <rFont val="Calibri"/>
        <family val="2"/>
      </rPr>
      <t>e</t>
    </r>
    <r>
      <rPr>
        <sz val="10"/>
        <rFont val="宋体"/>
        <family val="0"/>
      </rPr>
      <t>)-</t>
    </r>
    <r>
      <rPr>
        <sz val="10"/>
        <rFont val="Calibri"/>
        <family val="2"/>
      </rPr>
      <t>K</t>
    </r>
    <r>
      <rPr>
        <vertAlign val="subscript"/>
        <sz val="10"/>
        <rFont val="Calibri"/>
        <family val="2"/>
      </rPr>
      <t>dT</t>
    </r>
    <r>
      <rPr>
        <sz val="10"/>
        <rFont val="Calibri"/>
        <family val="2"/>
      </rPr>
      <t>V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X</t>
    </r>
    <r>
      <rPr>
        <vertAlign val="subscript"/>
        <sz val="10"/>
        <rFont val="Calibri"/>
        <family val="2"/>
      </rPr>
      <t>V</t>
    </r>
    <r>
      <rPr>
        <sz val="10"/>
        <rFont val="Calibri"/>
        <family val="2"/>
      </rPr>
      <t>+fQ(SS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-SS</t>
    </r>
    <r>
      <rPr>
        <vertAlign val="subscript"/>
        <sz val="10"/>
        <rFont val="Calibri"/>
        <family val="2"/>
      </rPr>
      <t>e</t>
    </r>
    <r>
      <rPr>
        <sz val="10"/>
        <rFont val="Calibri"/>
        <family val="2"/>
      </rPr>
      <t>)</t>
    </r>
  </si>
  <si>
    <r>
      <t>Q</t>
    </r>
    <r>
      <rPr>
        <vertAlign val="subscript"/>
        <sz val="10"/>
        <rFont val="宋体"/>
        <family val="0"/>
      </rPr>
      <t>ss0</t>
    </r>
  </si>
  <si>
    <r>
      <t>出水BOD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—S</t>
    </r>
    <r>
      <rPr>
        <vertAlign val="subscript"/>
        <sz val="10"/>
        <rFont val="宋体"/>
        <family val="0"/>
      </rPr>
      <t>e</t>
    </r>
  </si>
  <si>
    <r>
      <t>进水BOD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—S</t>
    </r>
    <r>
      <rPr>
        <vertAlign val="subscript"/>
        <sz val="10"/>
        <rFont val="宋体"/>
        <family val="0"/>
      </rPr>
      <t>0</t>
    </r>
  </si>
  <si>
    <r>
      <t>不加碳源排放
水的含氮量Ne</t>
    </r>
    <r>
      <rPr>
        <vertAlign val="subscript"/>
        <sz val="10"/>
        <rFont val="宋体"/>
        <family val="0"/>
      </rPr>
      <t>计</t>
    </r>
  </si>
  <si>
    <r>
      <t>换算成BOD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量BOD</t>
    </r>
    <r>
      <rPr>
        <vertAlign val="subscript"/>
        <sz val="10"/>
        <rFont val="宋体"/>
        <family val="0"/>
      </rPr>
      <t>m</t>
    </r>
  </si>
  <si>
    <r>
      <t>BOD</t>
    </r>
    <r>
      <rPr>
        <vertAlign val="subscript"/>
        <sz val="10"/>
        <rFont val="宋体"/>
        <family val="0"/>
      </rPr>
      <t>d</t>
    </r>
    <r>
      <rPr>
        <sz val="10"/>
        <rFont val="宋体"/>
        <family val="0"/>
      </rPr>
      <t>=Q*BOD</t>
    </r>
    <r>
      <rPr>
        <vertAlign val="subscript"/>
        <sz val="10"/>
        <rFont val="宋体"/>
        <family val="0"/>
      </rPr>
      <t>m</t>
    </r>
    <r>
      <rPr>
        <sz val="10"/>
        <rFont val="宋体"/>
        <family val="0"/>
      </rPr>
      <t>/1000</t>
    </r>
  </si>
  <si>
    <r>
      <t>碳源BOD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当量</t>
    </r>
  </si>
  <si>
    <r>
      <t>kgBOD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/kg碳源</t>
    </r>
  </si>
  <si>
    <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/d</t>
    </r>
  </si>
  <si>
    <r>
      <t>每日需外加BOD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量BOD</t>
    </r>
    <r>
      <rPr>
        <vertAlign val="subscript"/>
        <sz val="10"/>
        <rFont val="宋体"/>
        <family val="0"/>
      </rPr>
      <t>d</t>
    </r>
  </si>
  <si>
    <r>
      <t>单位反硝化硝态氮与进水BOD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比值，按反硝化1kg硝态氮消耗2.86kgBOD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进行反算</t>
    </r>
  </si>
  <si>
    <r>
      <t>N=Ne</t>
    </r>
    <r>
      <rPr>
        <vertAlign val="subscript"/>
        <sz val="10"/>
        <rFont val="宋体"/>
        <family val="0"/>
      </rPr>
      <t>计</t>
    </r>
    <r>
      <rPr>
        <sz val="10"/>
        <rFont val="宋体"/>
        <family val="0"/>
      </rPr>
      <t>-N</t>
    </r>
    <r>
      <rPr>
        <vertAlign val="subscript"/>
        <sz val="10"/>
        <rFont val="宋体"/>
        <family val="0"/>
      </rPr>
      <t>te</t>
    </r>
  </si>
  <si>
    <r>
      <t>BOD</t>
    </r>
    <r>
      <rPr>
        <vertAlign val="subscript"/>
        <sz val="10"/>
        <rFont val="宋体"/>
        <family val="0"/>
      </rPr>
      <t>m</t>
    </r>
    <r>
      <rPr>
        <sz val="10"/>
        <rFont val="宋体"/>
        <family val="0"/>
      </rPr>
      <t>=2.86*N，外加的BOD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量</t>
    </r>
  </si>
  <si>
    <t>碳源单价</t>
  </si>
  <si>
    <r>
      <t>进水总氮N</t>
    </r>
    <r>
      <rPr>
        <vertAlign val="subscript"/>
        <sz val="10"/>
        <rFont val="宋体"/>
        <family val="0"/>
      </rPr>
      <t>t</t>
    </r>
  </si>
  <si>
    <r>
      <t>Ne</t>
    </r>
    <r>
      <rPr>
        <vertAlign val="subscript"/>
        <sz val="10"/>
        <rFont val="宋体"/>
        <family val="0"/>
      </rPr>
      <t>计</t>
    </r>
    <r>
      <rPr>
        <sz val="10"/>
        <rFont val="宋体"/>
        <family val="0"/>
      </rPr>
      <t>=N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-K</t>
    </r>
    <r>
      <rPr>
        <vertAlign val="subscript"/>
        <sz val="10"/>
        <rFont val="宋体"/>
        <family val="0"/>
      </rPr>
      <t>deB</t>
    </r>
    <r>
      <rPr>
        <sz val="10"/>
        <rFont val="宋体"/>
        <family val="0"/>
      </rPr>
      <t>S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-0.05（S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-Se）</t>
    </r>
  </si>
  <si>
    <t>名义停留时间，不计回流及厌氧池</t>
  </si>
  <si>
    <r>
      <rPr>
        <sz val="10"/>
        <rFont val="Calibri"/>
        <family val="2"/>
      </rPr>
      <t>θ</t>
    </r>
    <r>
      <rPr>
        <vertAlign val="subscript"/>
        <sz val="10"/>
        <rFont val="Calibri"/>
        <family val="2"/>
      </rPr>
      <t>R</t>
    </r>
    <r>
      <rPr>
        <sz val="10"/>
        <rFont val="宋体"/>
        <family val="0"/>
      </rPr>
      <t>=0.001*（</t>
    </r>
    <r>
      <rPr>
        <sz val="10"/>
        <rFont val="Calibri"/>
        <family val="2"/>
      </rPr>
      <t>V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+V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+V</t>
    </r>
    <r>
      <rPr>
        <vertAlign val="subscript"/>
        <sz val="10"/>
        <rFont val="Calibri"/>
        <family val="2"/>
      </rPr>
      <t>p</t>
    </r>
    <r>
      <rPr>
        <sz val="10"/>
        <rFont val="宋体"/>
        <family val="0"/>
      </rPr>
      <t>）</t>
    </r>
    <r>
      <rPr>
        <sz val="10"/>
        <rFont val="Calibri"/>
        <family val="2"/>
      </rPr>
      <t>X</t>
    </r>
    <r>
      <rPr>
        <vertAlign val="subscript"/>
        <sz val="10"/>
        <rFont val="Calibri"/>
        <family val="2"/>
      </rPr>
      <t>e</t>
    </r>
    <r>
      <rPr>
        <sz val="10"/>
        <rFont val="Calibri"/>
        <family val="2"/>
      </rPr>
      <t>/</t>
    </r>
    <r>
      <rPr>
        <sz val="10"/>
        <rFont val="Calibri"/>
        <family val="2"/>
      </rPr>
      <t>Δ</t>
    </r>
    <r>
      <rPr>
        <sz val="10"/>
        <rFont val="Calibri"/>
        <family val="2"/>
      </rPr>
      <t>X</t>
    </r>
  </si>
  <si>
    <r>
      <t xml:space="preserve">缺氧+好氧+厌氧
</t>
    </r>
    <r>
      <rPr>
        <sz val="10"/>
        <color indexed="10"/>
        <rFont val="宋体"/>
        <family val="0"/>
      </rPr>
      <t>规范:11-23d</t>
    </r>
  </si>
  <si>
    <t>池容计算</t>
  </si>
  <si>
    <t>污泥负荷Ls</t>
  </si>
  <si>
    <t>污泥浓度X</t>
  </si>
  <si>
    <t>曝气池容积V</t>
  </si>
  <si>
    <t>污泥回流比R</t>
  </si>
  <si>
    <r>
      <rPr>
        <sz val="10"/>
        <rFont val="Calibri"/>
        <family val="2"/>
      </rPr>
      <t>V</t>
    </r>
    <r>
      <rPr>
        <sz val="10"/>
        <rFont val="宋体"/>
        <family val="0"/>
      </rPr>
      <t>=</t>
    </r>
  </si>
  <si>
    <r>
      <t>m</t>
    </r>
    <r>
      <rPr>
        <vertAlign val="superscript"/>
        <sz val="10"/>
        <rFont val="宋体"/>
        <family val="0"/>
      </rPr>
      <t>3</t>
    </r>
  </si>
  <si>
    <t>宜：25-75%;  25-75%;
    50-100%; 100-400%</t>
  </si>
  <si>
    <t>*不直接参与计算</t>
  </si>
  <si>
    <r>
      <t>乙酸钠为0.52，甲醇为0.77，葡萄糖0.75-0.96;</t>
    </r>
    <r>
      <rPr>
        <sz val="10"/>
        <color indexed="10"/>
        <rFont val="宋体"/>
        <family val="0"/>
      </rPr>
      <t>*如换算成BOD</t>
    </r>
    <r>
      <rPr>
        <vertAlign val="subscript"/>
        <sz val="10"/>
        <color indexed="10"/>
        <rFont val="宋体"/>
        <family val="0"/>
      </rPr>
      <t>5</t>
    </r>
    <r>
      <rPr>
        <sz val="10"/>
        <color indexed="10"/>
        <rFont val="宋体"/>
        <family val="0"/>
      </rPr>
      <t>浓度乘10</t>
    </r>
    <r>
      <rPr>
        <vertAlign val="superscript"/>
        <sz val="10"/>
        <color indexed="10"/>
        <rFont val="宋体"/>
        <family val="0"/>
      </rPr>
      <t>6</t>
    </r>
  </si>
  <si>
    <t>A/O污泥龄</t>
  </si>
  <si>
    <t>规范要求的11-23d泥龄还要包括厌氧池泥龄</t>
  </si>
  <si>
    <r>
      <t>K</t>
    </r>
    <r>
      <rPr>
        <vertAlign val="subscript"/>
        <sz val="10"/>
        <rFont val="宋体"/>
        <family val="0"/>
      </rPr>
      <t>de</t>
    </r>
    <r>
      <rPr>
        <vertAlign val="subscript"/>
        <sz val="10"/>
        <rFont val="宋体"/>
        <family val="0"/>
      </rPr>
      <t>（T）</t>
    </r>
    <r>
      <rPr>
        <sz val="10"/>
        <rFont val="宋体"/>
        <family val="0"/>
      </rPr>
      <t>=K</t>
    </r>
    <r>
      <rPr>
        <vertAlign val="subscript"/>
        <sz val="10"/>
        <rFont val="宋体"/>
        <family val="0"/>
      </rPr>
      <t>de</t>
    </r>
    <r>
      <rPr>
        <vertAlign val="subscript"/>
        <sz val="10"/>
        <rFont val="宋体"/>
        <family val="0"/>
      </rPr>
      <t>（20）</t>
    </r>
    <r>
      <rPr>
        <sz val="10"/>
        <rFont val="宋体"/>
        <family val="0"/>
      </rPr>
      <t>*1.08</t>
    </r>
    <r>
      <rPr>
        <vertAlign val="superscript"/>
        <sz val="10"/>
        <rFont val="宋体"/>
        <family val="0"/>
      </rPr>
      <t>(Te-20)</t>
    </r>
  </si>
  <si>
    <r>
      <t>Alk</t>
    </r>
    <r>
      <rPr>
        <vertAlign val="subscript"/>
        <sz val="10"/>
        <rFont val="宋体"/>
        <family val="0"/>
      </rPr>
      <t>e</t>
    </r>
    <r>
      <rPr>
        <sz val="10"/>
        <rFont val="宋体"/>
        <family val="0"/>
      </rPr>
      <t>=Alk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+0.3(S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-Se)+3(N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-N</t>
    </r>
    <r>
      <rPr>
        <vertAlign val="subscript"/>
        <sz val="10"/>
        <rFont val="宋体"/>
        <family val="0"/>
      </rPr>
      <t>te</t>
    </r>
    <r>
      <rPr>
        <sz val="10"/>
        <rFont val="宋体"/>
        <family val="0"/>
      </rPr>
      <t>)-7.14(N</t>
    </r>
    <r>
      <rPr>
        <vertAlign val="subscript"/>
        <sz val="10"/>
        <rFont val="宋体"/>
        <family val="0"/>
      </rPr>
      <t>k</t>
    </r>
    <r>
      <rPr>
        <sz val="10"/>
        <rFont val="宋体"/>
        <family val="0"/>
      </rPr>
      <t>-N</t>
    </r>
    <r>
      <rPr>
        <vertAlign val="subscript"/>
        <sz val="10"/>
        <rFont val="宋体"/>
        <family val="0"/>
      </rPr>
      <t>ke</t>
    </r>
    <r>
      <rPr>
        <sz val="10"/>
        <rFont val="宋体"/>
        <family val="0"/>
      </rPr>
      <t>)</t>
    </r>
  </si>
  <si>
    <r>
      <t>K</t>
    </r>
    <r>
      <rPr>
        <vertAlign val="subscript"/>
        <sz val="10"/>
        <rFont val="宋体"/>
        <family val="0"/>
      </rPr>
      <t>dT</t>
    </r>
    <r>
      <rPr>
        <sz val="10"/>
        <rFont val="宋体"/>
        <family val="0"/>
      </rPr>
      <t>=K</t>
    </r>
    <r>
      <rPr>
        <vertAlign val="subscript"/>
        <sz val="10"/>
        <rFont val="宋体"/>
        <family val="0"/>
      </rPr>
      <t>d20</t>
    </r>
    <r>
      <rPr>
        <sz val="10"/>
        <rFont val="宋体"/>
        <family val="0"/>
      </rPr>
      <t>*(</t>
    </r>
    <r>
      <rPr>
        <sz val="10"/>
        <rFont val="Calibri"/>
        <family val="2"/>
      </rPr>
      <t>θ</t>
    </r>
    <r>
      <rPr>
        <vertAlign val="subscript"/>
        <sz val="10"/>
        <rFont val="宋体"/>
        <family val="0"/>
      </rPr>
      <t>T</t>
    </r>
    <r>
      <rPr>
        <sz val="10"/>
        <rFont val="宋体"/>
        <family val="0"/>
      </rPr>
      <t>)</t>
    </r>
    <r>
      <rPr>
        <vertAlign val="superscript"/>
        <sz val="10"/>
        <rFont val="宋体"/>
        <family val="0"/>
      </rPr>
      <t>T-20</t>
    </r>
  </si>
  <si>
    <t>如负数为无需加碳源</t>
  </si>
  <si>
    <r>
      <t>硝化反硝化/脱氮除磷（如A</t>
    </r>
    <r>
      <rPr>
        <b/>
        <vertAlign val="superscript"/>
        <sz val="15"/>
        <rFont val="宋体"/>
        <family val="0"/>
      </rPr>
      <t>2</t>
    </r>
    <r>
      <rPr>
        <b/>
        <sz val="15"/>
        <rFont val="宋体"/>
        <family val="0"/>
      </rPr>
      <t>/O）工艺设计计算</t>
    </r>
  </si>
  <si>
    <t>*如反硝化池出现负值，说明计算污泥带走的氮太多，可降低污泥产率系数</t>
  </si>
  <si>
    <t>采用污泥负荷复核池容</t>
  </si>
  <si>
    <t>普通曝气：0.2-0.4
阶段曝气：0.2-0.4
吸附再生曝气：0.2-0.4
合建式完全混合曝气：0.25-0.5</t>
  </si>
  <si>
    <t>浙江国清环保科技有限公司发布，版本号V2.0
更多免费工具见：https://www.gqhbkj.com/</t>
  </si>
  <si>
    <r>
      <t>K</t>
    </r>
    <r>
      <rPr>
        <vertAlign val="subscript"/>
        <sz val="10"/>
        <rFont val="宋体"/>
        <family val="0"/>
      </rPr>
      <t>deB</t>
    </r>
    <r>
      <rPr>
        <sz val="10"/>
        <rFont val="宋体"/>
        <family val="0"/>
      </rPr>
      <t>=1/2.86</t>
    </r>
  </si>
  <si>
    <r>
      <t>一、进水流量参数及主要指标摘录</t>
    </r>
    <r>
      <rPr>
        <b/>
        <sz val="10"/>
        <color indexed="10"/>
        <rFont val="宋体"/>
        <family val="0"/>
      </rPr>
      <t>(红色为手动输入，黑色为自动生成)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</si>
</sst>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0.0000_ "/>
    <numFmt numFmtId="186" formatCode="0.00_);\(0.00\)"/>
    <numFmt numFmtId="187" formatCode="0.00_);[Red]\(0.00\)"/>
    <numFmt numFmtId="188" formatCode="0_);\(0\)"/>
    <numFmt numFmtId="189" formatCode="0.000_ "/>
    <numFmt numFmtId="190" formatCode="0.0"/>
    <numFmt numFmtId="191" formatCode="0.000"/>
    <numFmt numFmtId="192" formatCode="0.0000"/>
    <numFmt numFmtId="193" formatCode="0.0%"/>
    <numFmt numFmtId="194" formatCode="0.0000_);\(0.0000\)"/>
    <numFmt numFmtId="195" formatCode="0.000000_ "/>
    <numFmt numFmtId="196" formatCode="0.0000_);[Red]\(0.0000\)"/>
    <numFmt numFmtId="197" formatCode="0.000_);[Red]\(0.000\)"/>
    <numFmt numFmtId="198" formatCode="0.0000000_);[Red]\(0.0000000\)"/>
    <numFmt numFmtId="199" formatCode="0.00000000000_ "/>
  </numFmts>
  <fonts count="7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vertAlign val="subscript"/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vertAlign val="superscript"/>
      <sz val="15"/>
      <name val="宋体"/>
      <family val="0"/>
    </font>
    <font>
      <b/>
      <vertAlign val="subscript"/>
      <sz val="10"/>
      <name val="宋体"/>
      <family val="0"/>
    </font>
    <font>
      <b/>
      <vertAlign val="superscript"/>
      <sz val="10"/>
      <name val="宋体"/>
      <family val="0"/>
    </font>
    <font>
      <vertAlign val="superscript"/>
      <sz val="10"/>
      <name val="宋体"/>
      <family val="0"/>
    </font>
    <font>
      <sz val="10"/>
      <name val="Calibri"/>
      <family val="2"/>
    </font>
    <font>
      <sz val="12"/>
      <name val="Calibri"/>
      <family val="2"/>
    </font>
    <font>
      <sz val="11.5"/>
      <name val="宋体"/>
      <family val="0"/>
    </font>
    <font>
      <vertAlign val="subscript"/>
      <sz val="11.5"/>
      <name val="宋体"/>
      <family val="0"/>
    </font>
    <font>
      <vertAlign val="subscript"/>
      <sz val="10"/>
      <name val="Calibri"/>
      <family val="2"/>
    </font>
    <font>
      <vertAlign val="subscript"/>
      <sz val="10"/>
      <color indexed="8"/>
      <name val="宋体"/>
      <family val="0"/>
    </font>
    <font>
      <vertAlign val="subscript"/>
      <sz val="9"/>
      <name val="宋体"/>
      <family val="0"/>
    </font>
    <font>
      <vertAlign val="subscript"/>
      <sz val="10"/>
      <color indexed="10"/>
      <name val="宋体"/>
      <family val="0"/>
    </font>
    <font>
      <vertAlign val="superscript"/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0"/>
      <color indexed="8"/>
      <name val="Cambria Math"/>
      <family val="1"/>
    </font>
    <font>
      <vertAlign val="subscript"/>
      <sz val="10"/>
      <color indexed="8"/>
      <name val="Cambria Math"/>
      <family val="1"/>
    </font>
    <font>
      <sz val="11"/>
      <color indexed="8"/>
      <name val="Cambria Math"/>
      <family val="1"/>
    </font>
    <font>
      <vertAlign val="subscript"/>
      <sz val="11"/>
      <color indexed="8"/>
      <name val="Cambria Math"/>
      <family val="1"/>
    </font>
    <font>
      <vertAlign val="superscript"/>
      <sz val="10"/>
      <color indexed="8"/>
      <name val="Cambria Math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8" applyNumberFormat="0" applyAlignment="0" applyProtection="0"/>
    <xf numFmtId="0" fontId="65" fillId="25" borderId="5" applyNumberFormat="0" applyAlignment="0" applyProtection="0"/>
    <xf numFmtId="0" fontId="4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7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187" fontId="2" fillId="0" borderId="10" xfId="0" applyNumberFormat="1" applyFont="1" applyFill="1" applyBorder="1" applyAlignment="1" applyProtection="1">
      <alignment vertical="center" wrapText="1"/>
      <protection/>
    </xf>
    <xf numFmtId="187" fontId="2" fillId="0" borderId="10" xfId="0" applyNumberFormat="1" applyFont="1" applyBorder="1" applyAlignment="1" applyProtection="1">
      <alignment vertical="center" wrapText="1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67" fillId="35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67" fillId="0" borderId="10" xfId="0" applyNumberFormat="1" applyFont="1" applyBorder="1" applyAlignment="1" applyProtection="1">
      <alignment horizontal="center" vertical="center" wrapText="1"/>
      <protection locked="0"/>
    </xf>
    <xf numFmtId="187" fontId="2" fillId="0" borderId="13" xfId="0" applyNumberFormat="1" applyFont="1" applyBorder="1" applyAlignment="1" applyProtection="1">
      <alignment horizontal="center" vertical="center" wrapText="1"/>
      <protection locked="0"/>
    </xf>
    <xf numFmtId="187" fontId="5" fillId="33" borderId="20" xfId="0" applyNumberFormat="1" applyFont="1" applyFill="1" applyBorder="1" applyAlignment="1" applyProtection="1">
      <alignment horizontal="center" vertical="center"/>
      <protection locked="0"/>
    </xf>
    <xf numFmtId="187" fontId="5" fillId="33" borderId="21" xfId="0" applyNumberFormat="1" applyFont="1" applyFill="1" applyBorder="1" applyAlignment="1" applyProtection="1">
      <alignment horizontal="center" vertical="center"/>
      <protection locked="0"/>
    </xf>
    <xf numFmtId="187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87" fontId="6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6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2" fillId="35" borderId="10" xfId="0" applyNumberFormat="1" applyFont="1" applyFill="1" applyBorder="1" applyAlignment="1" applyProtection="1">
      <alignment horizontal="right" vertical="center"/>
      <protection locked="0"/>
    </xf>
    <xf numFmtId="176" fontId="67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87" fontId="68" fillId="0" borderId="10" xfId="0" applyNumberFormat="1" applyFont="1" applyFill="1" applyBorder="1" applyAlignment="1" applyProtection="1">
      <alignment horizontal="left" vertical="center"/>
      <protection locked="0"/>
    </xf>
    <xf numFmtId="187" fontId="2" fillId="0" borderId="10" xfId="0" applyNumberFormat="1" applyFont="1" applyBorder="1" applyAlignment="1" applyProtection="1">
      <alignment horizontal="left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69" fillId="0" borderId="10" xfId="0" applyFont="1" applyBorder="1" applyAlignment="1" applyProtection="1">
      <alignment vertical="center" wrapText="1"/>
      <protection locked="0"/>
    </xf>
    <xf numFmtId="187" fontId="67" fillId="0" borderId="11" xfId="0" applyNumberFormat="1" applyFont="1" applyBorder="1" applyAlignment="1" applyProtection="1">
      <alignment horizontal="center" vertical="center"/>
      <protection locked="0"/>
    </xf>
    <xf numFmtId="187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87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right" vertical="center" wrapText="1"/>
      <protection locked="0"/>
    </xf>
    <xf numFmtId="187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87" fontId="6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87" fontId="2" fillId="0" borderId="10" xfId="0" applyNumberFormat="1" applyFont="1" applyBorder="1" applyAlignment="1" applyProtection="1">
      <alignment horizontal="left" vertical="center" wrapText="1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87" fontId="6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8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187" fontId="2" fillId="0" borderId="10" xfId="0" applyNumberFormat="1" applyFont="1" applyBorder="1" applyAlignment="1" applyProtection="1">
      <alignment horizontal="center" vertical="center"/>
      <protection locked="0"/>
    </xf>
    <xf numFmtId="187" fontId="2" fillId="0" borderId="10" xfId="0" applyNumberFormat="1" applyFont="1" applyBorder="1" applyAlignment="1" applyProtection="1">
      <alignment horizontal="left" vertical="center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87" fontId="2" fillId="0" borderId="10" xfId="0" applyNumberFormat="1" applyFont="1" applyFill="1" applyBorder="1" applyAlignment="1" applyProtection="1">
      <alignment horizontal="center" vertical="center"/>
      <protection locked="0"/>
    </xf>
    <xf numFmtId="187" fontId="5" fillId="33" borderId="10" xfId="0" applyNumberFormat="1" applyFont="1" applyFill="1" applyBorder="1" applyAlignment="1" applyProtection="1">
      <alignment horizontal="center" vertical="center"/>
      <protection locked="0"/>
    </xf>
    <xf numFmtId="187" fontId="2" fillId="0" borderId="10" xfId="0" applyNumberFormat="1" applyFont="1" applyBorder="1" applyAlignment="1" applyProtection="1">
      <alignment horizontal="left" vertical="center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96" fontId="2" fillId="0" borderId="10" xfId="0" applyNumberFormat="1" applyFont="1" applyFill="1" applyBorder="1" applyAlignment="1" applyProtection="1">
      <alignment horizontal="center" vertical="center"/>
      <protection locked="0"/>
    </xf>
    <xf numFmtId="187" fontId="2" fillId="0" borderId="10" xfId="0" applyNumberFormat="1" applyFont="1" applyBorder="1" applyAlignment="1" applyProtection="1">
      <alignment horizontal="left" vertical="center"/>
      <protection locked="0"/>
    </xf>
    <xf numFmtId="187" fontId="67" fillId="0" borderId="10" xfId="0" applyNumberFormat="1" applyFont="1" applyFill="1" applyBorder="1" applyAlignment="1" applyProtection="1">
      <alignment horizontal="center" vertical="center"/>
      <protection locked="0"/>
    </xf>
    <xf numFmtId="18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9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87" fontId="67" fillId="0" borderId="10" xfId="0" applyNumberFormat="1" applyFont="1" applyFill="1" applyBorder="1" applyAlignment="1" applyProtection="1">
      <alignment vertical="center" wrapText="1"/>
      <protection locked="0"/>
    </xf>
    <xf numFmtId="187" fontId="2" fillId="0" borderId="10" xfId="0" applyNumberFormat="1" applyFont="1" applyFill="1" applyBorder="1" applyAlignment="1" applyProtection="1">
      <alignment vertical="center" wrapText="1"/>
      <protection locked="0"/>
    </xf>
    <xf numFmtId="0" fontId="67" fillId="0" borderId="10" xfId="0" applyFont="1" applyBorder="1" applyAlignment="1" applyProtection="1">
      <alignment vertical="center" wrapText="1"/>
      <protection locked="0"/>
    </xf>
    <xf numFmtId="187" fontId="2" fillId="0" borderId="10" xfId="0" applyNumberFormat="1" applyFont="1" applyBorder="1" applyAlignment="1" applyProtection="1">
      <alignment vertical="center" wrapText="1"/>
      <protection locked="0"/>
    </xf>
    <xf numFmtId="178" fontId="6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77" fontId="2" fillId="0" borderId="10" xfId="0" applyNumberFormat="1" applyFont="1" applyFill="1" applyBorder="1" applyAlignment="1" applyProtection="1">
      <alignment vertical="center" wrapText="1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/>
      <protection locked="0"/>
    </xf>
    <xf numFmtId="178" fontId="6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187" fontId="68" fillId="0" borderId="10" xfId="0" applyNumberFormat="1" applyFont="1" applyBorder="1" applyAlignment="1" applyProtection="1">
      <alignment horizontal="center" vertical="center"/>
      <protection locked="0"/>
    </xf>
    <xf numFmtId="187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87" fontId="2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89" fontId="2" fillId="0" borderId="10" xfId="0" applyNumberFormat="1" applyFont="1" applyBorder="1" applyAlignment="1" applyProtection="1">
      <alignment vertical="center" wrapText="1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9" fontId="2" fillId="0" borderId="0" xfId="0" applyNumberFormat="1" applyFont="1" applyAlignment="1" applyProtection="1">
      <alignment horizontal="right" vertical="center"/>
      <protection locked="0"/>
    </xf>
    <xf numFmtId="10" fontId="7" fillId="0" borderId="0" xfId="0" applyNumberFormat="1" applyFont="1" applyAlignment="1" applyProtection="1">
      <alignment horizontal="left" vertical="center"/>
      <protection locked="0"/>
    </xf>
    <xf numFmtId="189" fontId="2" fillId="0" borderId="1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8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29</xdr:row>
      <xdr:rowOff>142875</xdr:rowOff>
    </xdr:from>
    <xdr:ext cx="666750" cy="381000"/>
    <xdr:sp>
      <xdr:nvSpPr>
        <xdr:cNvPr id="1" name="TextBox 4"/>
        <xdr:cNvSpPr txBox="1">
          <a:spLocks noChangeArrowheads="1"/>
        </xdr:cNvSpPr>
      </xdr:nvSpPr>
      <xdr:spPr>
        <a:xfrm>
          <a:off x="2286000" y="12334875"/>
          <a:ext cx="666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+Na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</xdr:col>
      <xdr:colOff>95250</xdr:colOff>
      <xdr:row>33</xdr:row>
      <xdr:rowOff>371475</xdr:rowOff>
    </xdr:from>
    <xdr:ext cx="1257300" cy="390525"/>
    <xdr:sp>
      <xdr:nvSpPr>
        <xdr:cNvPr id="2" name="TextBox 4"/>
        <xdr:cNvSpPr txBox="1">
          <a:spLocks noChangeArrowheads="1"/>
        </xdr:cNvSpPr>
      </xdr:nvSpPr>
      <xdr:spPr>
        <a:xfrm>
          <a:off x="1743075" y="14182725"/>
          <a:ext cx="1257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-Se)Ɵ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co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n)/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Xe</a:t>
          </a:r>
        </a:p>
      </xdr:txBody>
    </xdr:sp>
    <xdr:clientData/>
  </xdr:oneCellAnchor>
  <xdr:oneCellAnchor>
    <xdr:from>
      <xdr:col>2</xdr:col>
      <xdr:colOff>276225</xdr:colOff>
      <xdr:row>30</xdr:row>
      <xdr:rowOff>342900</xdr:rowOff>
    </xdr:from>
    <xdr:ext cx="1028700" cy="409575"/>
    <xdr:sp>
      <xdr:nvSpPr>
        <xdr:cNvPr id="3" name="TextBox 4"/>
        <xdr:cNvSpPr txBox="1">
          <a:spLocks noChangeArrowheads="1"/>
        </xdr:cNvSpPr>
      </xdr:nvSpPr>
      <xdr:spPr>
        <a:xfrm>
          <a:off x="1924050" y="13115925"/>
          <a:ext cx="1028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μ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N(T)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-KdN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(T))</a:t>
          </a:r>
        </a:p>
      </xdr:txBody>
    </xdr:sp>
    <xdr:clientData/>
  </xdr:oneCellAnchor>
  <xdr:oneCellAnchor>
    <xdr:from>
      <xdr:col>2</xdr:col>
      <xdr:colOff>219075</xdr:colOff>
      <xdr:row>35</xdr:row>
      <xdr:rowOff>371475</xdr:rowOff>
    </xdr:from>
    <xdr:ext cx="933450" cy="390525"/>
    <xdr:sp>
      <xdr:nvSpPr>
        <xdr:cNvPr id="4" name="TextBox 4"/>
        <xdr:cNvSpPr txBox="1">
          <a:spLocks noChangeArrowheads="1"/>
        </xdr:cNvSpPr>
      </xdr:nvSpPr>
      <xdr:spPr>
        <a:xfrm>
          <a:off x="1866900" y="14944725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-Ne))/(V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∗Xv)</a:t>
          </a:r>
        </a:p>
      </xdr:txBody>
    </xdr:sp>
    <xdr:clientData/>
  </xdr:oneCellAnchor>
  <xdr:oneCellAnchor>
    <xdr:from>
      <xdr:col>2</xdr:col>
      <xdr:colOff>247650</xdr:colOff>
      <xdr:row>38</xdr:row>
      <xdr:rowOff>38100</xdr:rowOff>
    </xdr:from>
    <xdr:ext cx="933450" cy="390525"/>
    <xdr:sp>
      <xdr:nvSpPr>
        <xdr:cNvPr id="5" name="TextBox 4"/>
        <xdr:cNvSpPr txBox="1">
          <a:spLocks noChangeArrowheads="1"/>
        </xdr:cNvSpPr>
      </xdr:nvSpPr>
      <xdr:spPr>
        <a:xfrm>
          <a:off x="1895475" y="15973425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Q(aS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∗Xv)</a:t>
          </a:r>
        </a:p>
      </xdr:txBody>
    </xdr:sp>
    <xdr:clientData/>
  </xdr:oneCellAnchor>
  <xdr:oneCellAnchor>
    <xdr:from>
      <xdr:col>2</xdr:col>
      <xdr:colOff>276225</xdr:colOff>
      <xdr:row>42</xdr:row>
      <xdr:rowOff>47625</xdr:rowOff>
    </xdr:from>
    <xdr:ext cx="933450" cy="381000"/>
    <xdr:sp>
      <xdr:nvSpPr>
        <xdr:cNvPr id="6" name="TextBox 4"/>
        <xdr:cNvSpPr txBox="1">
          <a:spLocks noChangeArrowheads="1"/>
        </xdr:cNvSpPr>
      </xdr:nvSpPr>
      <xdr:spPr>
        <a:xfrm>
          <a:off x="1924050" y="17735550"/>
          <a:ext cx="933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-Se))/1000</a:t>
          </a:r>
        </a:p>
      </xdr:txBody>
    </xdr:sp>
    <xdr:clientData/>
  </xdr:oneCellAnchor>
  <xdr:oneCellAnchor>
    <xdr:from>
      <xdr:col>2</xdr:col>
      <xdr:colOff>142875</xdr:colOff>
      <xdr:row>44</xdr:row>
      <xdr:rowOff>28575</xdr:rowOff>
    </xdr:from>
    <xdr:ext cx="1962150" cy="323850"/>
    <xdr:sp>
      <xdr:nvSpPr>
        <xdr:cNvPr id="7" name="TextBox 4"/>
        <xdr:cNvSpPr txBox="1">
          <a:spLocks noChangeArrowheads="1"/>
        </xdr:cNvSpPr>
      </xdr:nvSpPr>
      <xdr:spPr>
        <a:xfrm>
          <a:off x="1790700" y="18507075"/>
          <a:ext cx="1962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F</a:t>
          </a:r>
          <a:r>
            <a:rPr lang="en-US" cap="none" sz="1000" b="0" i="0" u="none" baseline="-25000">
              <a:solidFill>
                <a:srgbClr val="000000"/>
              </a:solidFill>
              <a:latin typeface="宋体"/>
              <a:ea typeface="宋体"/>
              <a:cs typeface="宋体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*1000*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0.001Q(N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-Nte)-0.12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Δ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V)/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Xe</a:t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923925" cy="409575"/>
    <xdr:sp>
      <xdr:nvSpPr>
        <xdr:cNvPr id="8" name="TextBox 4"/>
        <xdr:cNvSpPr txBox="1">
          <a:spLocks noChangeArrowheads="1"/>
        </xdr:cNvSpPr>
      </xdr:nvSpPr>
      <xdr:spPr>
        <a:xfrm>
          <a:off x="1647825" y="14573250"/>
          <a:ext cx="923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24∗V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0)/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</a:t>
          </a:r>
        </a:p>
      </xdr:txBody>
    </xdr:sp>
    <xdr:clientData/>
  </xdr:oneCellAnchor>
  <xdr:oneCellAnchor>
    <xdr:from>
      <xdr:col>2</xdr:col>
      <xdr:colOff>142875</xdr:colOff>
      <xdr:row>45</xdr:row>
      <xdr:rowOff>0</xdr:rowOff>
    </xdr:from>
    <xdr:ext cx="733425" cy="409575"/>
    <xdr:sp>
      <xdr:nvSpPr>
        <xdr:cNvPr id="9" name="TextBox 4"/>
        <xdr:cNvSpPr txBox="1">
          <a:spLocks noChangeArrowheads="1"/>
        </xdr:cNvSpPr>
      </xdr:nvSpPr>
      <xdr:spPr>
        <a:xfrm>
          <a:off x="1790700" y="19030950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24∗Vn)/Q</a:t>
          </a:r>
        </a:p>
      </xdr:txBody>
    </xdr:sp>
    <xdr:clientData/>
  </xdr:oneCellAnchor>
  <xdr:oneCellAnchor>
    <xdr:from>
      <xdr:col>2</xdr:col>
      <xdr:colOff>123825</xdr:colOff>
      <xdr:row>45</xdr:row>
      <xdr:rowOff>371475</xdr:rowOff>
    </xdr:from>
    <xdr:ext cx="933450" cy="390525"/>
    <xdr:sp>
      <xdr:nvSpPr>
        <xdr:cNvPr id="10" name="TextBox 4"/>
        <xdr:cNvSpPr txBox="1">
          <a:spLocks noChangeArrowheads="1"/>
        </xdr:cNvSpPr>
      </xdr:nvSpPr>
      <xdr:spPr>
        <a:xfrm>
          <a:off x="1771650" y="19402425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0.001VnXv/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Δ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</a:p>
      </xdr:txBody>
    </xdr:sp>
    <xdr:clientData/>
  </xdr:oneCellAnchor>
  <xdr:oneCellAnchor>
    <xdr:from>
      <xdr:col>2</xdr:col>
      <xdr:colOff>342900</xdr:colOff>
      <xdr:row>51</xdr:row>
      <xdr:rowOff>352425</xdr:rowOff>
    </xdr:from>
    <xdr:ext cx="895350" cy="419100"/>
    <xdr:sp>
      <xdr:nvSpPr>
        <xdr:cNvPr id="11" name="TextBox 4"/>
        <xdr:cNvSpPr txBox="1">
          <a:spLocks noChangeArrowheads="1"/>
        </xdr:cNvSpPr>
      </xdr:nvSpPr>
      <xdr:spPr>
        <a:xfrm>
          <a:off x="1990725" y="21459825"/>
          <a:ext cx="895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))/((V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+Vn)∗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Xe)</a:t>
          </a:r>
        </a:p>
      </xdr:txBody>
    </xdr:sp>
    <xdr:clientData/>
  </xdr:oneCellAnchor>
  <xdr:oneCellAnchor>
    <xdr:from>
      <xdr:col>2</xdr:col>
      <xdr:colOff>352425</xdr:colOff>
      <xdr:row>52</xdr:row>
      <xdr:rowOff>371475</xdr:rowOff>
    </xdr:from>
    <xdr:ext cx="1019175" cy="409575"/>
    <xdr:sp>
      <xdr:nvSpPr>
        <xdr:cNvPr id="12" name="TextBox 4"/>
        <xdr:cNvSpPr txBox="1">
          <a:spLocks noChangeArrowheads="1"/>
        </xdr:cNvSpPr>
      </xdr:nvSpPr>
      <xdr:spPr>
        <a:xfrm>
          <a:off x="2000250" y="21859875"/>
          <a:ext cx="1019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-Nte))/(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(V</a:t>
          </a:r>
          <a:r>
            <a:rPr lang="en-US" cap="none" sz="11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+Vn)∗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Xe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</xdr:col>
      <xdr:colOff>257175</xdr:colOff>
      <xdr:row>46</xdr:row>
      <xdr:rowOff>381000</xdr:rowOff>
    </xdr:from>
    <xdr:ext cx="895350" cy="390525"/>
    <xdr:sp>
      <xdr:nvSpPr>
        <xdr:cNvPr id="13" name="TextBox 4"/>
        <xdr:cNvSpPr txBox="1">
          <a:spLocks noChangeArrowheads="1"/>
        </xdr:cNvSpPr>
      </xdr:nvSpPr>
      <xdr:spPr>
        <a:xfrm>
          <a:off x="1905000" y="19792950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-aS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∗Xv)</a:t>
          </a:r>
        </a:p>
      </xdr:txBody>
    </xdr:sp>
    <xdr:clientData/>
  </xdr:oneCellAnchor>
  <xdr:oneCellAnchor>
    <xdr:from>
      <xdr:col>2</xdr:col>
      <xdr:colOff>133350</xdr:colOff>
      <xdr:row>59</xdr:row>
      <xdr:rowOff>381000</xdr:rowOff>
    </xdr:from>
    <xdr:ext cx="781050" cy="381000"/>
    <xdr:sp>
      <xdr:nvSpPr>
        <xdr:cNvPr id="14" name="TextBox 4"/>
        <xdr:cNvSpPr txBox="1">
          <a:spLocks noChangeArrowheads="1"/>
        </xdr:cNvSpPr>
      </xdr:nvSpPr>
      <xdr:spPr>
        <a:xfrm>
          <a:off x="1781175" y="24326850"/>
          <a:ext cx="781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X/(N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-Nke)</a:t>
          </a:r>
        </a:p>
      </xdr:txBody>
    </xdr:sp>
    <xdr:clientData/>
  </xdr:oneCellAnchor>
  <xdr:oneCellAnchor>
    <xdr:from>
      <xdr:col>2</xdr:col>
      <xdr:colOff>314325</xdr:colOff>
      <xdr:row>58</xdr:row>
      <xdr:rowOff>276225</xdr:rowOff>
    </xdr:from>
    <xdr:ext cx="466725" cy="381000"/>
    <xdr:sp>
      <xdr:nvSpPr>
        <xdr:cNvPr id="15" name="TextBox 4"/>
        <xdr:cNvSpPr txBox="1">
          <a:spLocks noChangeArrowheads="1"/>
        </xdr:cNvSpPr>
      </xdr:nvSpPr>
      <xdr:spPr>
        <a:xfrm>
          <a:off x="1962150" y="23945850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</a:t>
          </a:r>
          <a:r>
            <a:rPr lang="en-US" cap="none" sz="1000" b="0" i="0" u="none" baseline="30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SVI</a:t>
          </a:r>
        </a:p>
      </xdr:txBody>
    </xdr:sp>
    <xdr:clientData/>
  </xdr:oneCellAnchor>
  <xdr:oneCellAnchor>
    <xdr:from>
      <xdr:col>2</xdr:col>
      <xdr:colOff>123825</xdr:colOff>
      <xdr:row>60</xdr:row>
      <xdr:rowOff>371475</xdr:rowOff>
    </xdr:from>
    <xdr:ext cx="742950" cy="400050"/>
    <xdr:sp>
      <xdr:nvSpPr>
        <xdr:cNvPr id="16" name="TextBox 4"/>
        <xdr:cNvSpPr txBox="1">
          <a:spLocks noChangeArrowheads="1"/>
        </xdr:cNvSpPr>
      </xdr:nvSpPr>
      <xdr:spPr>
        <a:xfrm>
          <a:off x="1771650" y="24698325"/>
          <a:ext cx="742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100∗QRi)/Q</a:t>
          </a:r>
        </a:p>
      </xdr:txBody>
    </xdr:sp>
    <xdr:clientData/>
  </xdr:oneCellAnchor>
  <xdr:oneCellAnchor>
    <xdr:from>
      <xdr:col>2</xdr:col>
      <xdr:colOff>123825</xdr:colOff>
      <xdr:row>66</xdr:row>
      <xdr:rowOff>276225</xdr:rowOff>
    </xdr:from>
    <xdr:ext cx="742950" cy="381000"/>
    <xdr:sp>
      <xdr:nvSpPr>
        <xdr:cNvPr id="17" name="TextBox 4"/>
        <xdr:cNvSpPr txBox="1">
          <a:spLocks noChangeArrowheads="1"/>
        </xdr:cNvSpPr>
      </xdr:nvSpPr>
      <xdr:spPr>
        <a:xfrm>
          <a:off x="1771650" y="2742247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(t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∗Q)/24</a:t>
          </a:r>
        </a:p>
      </xdr:txBody>
    </xdr:sp>
    <xdr:clientData/>
  </xdr:oneCellAnchor>
  <xdr:oneCellAnchor>
    <xdr:from>
      <xdr:col>11</xdr:col>
      <xdr:colOff>9525</xdr:colOff>
      <xdr:row>22</xdr:row>
      <xdr:rowOff>19050</xdr:rowOff>
    </xdr:from>
    <xdr:ext cx="1028700" cy="400050"/>
    <xdr:sp>
      <xdr:nvSpPr>
        <xdr:cNvPr id="18" name="TextBox 4"/>
        <xdr:cNvSpPr txBox="1">
          <a:spLocks noChangeArrowheads="1"/>
        </xdr:cNvSpPr>
      </xdr:nvSpPr>
      <xdr:spPr>
        <a:xfrm>
          <a:off x="12506325" y="9515475"/>
          <a:ext cx="1028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Q(S</a:t>
          </a:r>
          <a:r>
            <a:rPr lang="en-US" cap="none" sz="10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-Se))/LsX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J4" sqref="J4"/>
    </sheetView>
  </sheetViews>
  <sheetFormatPr defaultColWidth="10.625" defaultRowHeight="30" customHeight="1"/>
  <cols>
    <col min="1" max="1" width="5.875" style="175" customWidth="1"/>
    <col min="2" max="2" width="15.75390625" style="176" customWidth="1"/>
    <col min="3" max="3" width="25.625" style="177" customWidth="1"/>
    <col min="4" max="4" width="20.125" style="178" customWidth="1"/>
    <col min="5" max="5" width="17.375" style="179" customWidth="1"/>
    <col min="6" max="6" width="23.125" style="162" customWidth="1"/>
    <col min="7" max="7" width="5.875" style="33" customWidth="1"/>
    <col min="8" max="8" width="7.375" style="33" customWidth="1"/>
    <col min="9" max="9" width="20.125" style="33" customWidth="1"/>
    <col min="10" max="10" width="11.125" style="130" customWidth="1"/>
    <col min="11" max="11" width="11.625" style="128" customWidth="1"/>
    <col min="12" max="12" width="27.625" style="115" customWidth="1"/>
    <col min="13" max="14" width="10.625" style="33" customWidth="1"/>
    <col min="15" max="15" width="14.375" style="33" customWidth="1"/>
    <col min="16" max="16" width="12.00390625" style="33" customWidth="1"/>
    <col min="17" max="16384" width="10.625" style="33" customWidth="1"/>
  </cols>
  <sheetData>
    <row r="1" spans="1:6" s="30" customFormat="1" ht="55.5" customHeight="1">
      <c r="A1" s="29" t="s">
        <v>245</v>
      </c>
      <c r="B1" s="28"/>
      <c r="C1" s="28"/>
      <c r="D1" s="28"/>
      <c r="E1" s="28"/>
      <c r="F1" s="28"/>
    </row>
    <row r="2" spans="1:12" ht="45" customHeight="1">
      <c r="A2" s="31" t="s">
        <v>241</v>
      </c>
      <c r="B2" s="32"/>
      <c r="C2" s="32"/>
      <c r="D2" s="32"/>
      <c r="E2" s="32"/>
      <c r="F2" s="32"/>
      <c r="H2" s="34" t="s">
        <v>70</v>
      </c>
      <c r="I2" s="34"/>
      <c r="J2" s="34"/>
      <c r="K2" s="34"/>
      <c r="L2" s="34"/>
    </row>
    <row r="3" spans="1:12" ht="30" customHeight="1" thickBot="1">
      <c r="A3" s="35" t="s">
        <v>247</v>
      </c>
      <c r="B3" s="36"/>
      <c r="C3" s="36"/>
      <c r="D3" s="37"/>
      <c r="E3" s="37"/>
      <c r="F3" s="38"/>
      <c r="H3" s="39" t="s">
        <v>6</v>
      </c>
      <c r="I3" s="40" t="s">
        <v>8</v>
      </c>
      <c r="J3" s="39" t="s">
        <v>2</v>
      </c>
      <c r="K3" s="39" t="s">
        <v>1</v>
      </c>
      <c r="L3" s="41" t="s">
        <v>7</v>
      </c>
    </row>
    <row r="4" spans="1:12" s="48" customFormat="1" ht="30" customHeight="1" thickTop="1">
      <c r="A4" s="42" t="s">
        <v>35</v>
      </c>
      <c r="B4" s="43" t="s">
        <v>139</v>
      </c>
      <c r="C4" s="44" t="s">
        <v>53</v>
      </c>
      <c r="D4" s="45" t="s">
        <v>141</v>
      </c>
      <c r="E4" s="46" t="s">
        <v>140</v>
      </c>
      <c r="F4" s="47" t="s">
        <v>67</v>
      </c>
      <c r="H4" s="49">
        <v>1</v>
      </c>
      <c r="I4" s="1" t="s">
        <v>10</v>
      </c>
      <c r="J4" s="51">
        <f>B5</f>
        <v>100000</v>
      </c>
      <c r="K4" s="52" t="s">
        <v>214</v>
      </c>
      <c r="L4" s="50"/>
    </row>
    <row r="5" spans="1:12" ht="30" customHeight="1" thickBot="1">
      <c r="A5" s="53" t="s">
        <v>34</v>
      </c>
      <c r="B5" s="54">
        <v>100000</v>
      </c>
      <c r="C5" s="55">
        <f>2.7/POWER(B5*1000/3600/24,0.11)</f>
        <v>1.24273999616376</v>
      </c>
      <c r="D5" s="56">
        <f>D68</f>
        <v>6250</v>
      </c>
      <c r="E5" s="57">
        <f>D45</f>
        <v>13561.898148864006</v>
      </c>
      <c r="F5" s="58">
        <f>D35</f>
        <v>34934.567324660995</v>
      </c>
      <c r="H5" s="49">
        <v>2</v>
      </c>
      <c r="I5" s="2" t="s">
        <v>220</v>
      </c>
      <c r="J5" s="51">
        <f>C12</f>
        <v>55</v>
      </c>
      <c r="K5" s="60" t="s">
        <v>69</v>
      </c>
      <c r="L5" s="50"/>
    </row>
    <row r="6" spans="1:12" ht="30" customHeight="1" thickTop="1">
      <c r="A6" s="61" t="s">
        <v>44</v>
      </c>
      <c r="B6" s="37"/>
      <c r="C6" s="37"/>
      <c r="D6" s="62"/>
      <c r="E6" s="62"/>
      <c r="F6" s="63"/>
      <c r="H6" s="49">
        <v>3</v>
      </c>
      <c r="I6" s="3" t="s">
        <v>93</v>
      </c>
      <c r="J6" s="51">
        <f>D12</f>
        <v>20</v>
      </c>
      <c r="K6" s="60" t="s">
        <v>69</v>
      </c>
      <c r="L6" s="50"/>
    </row>
    <row r="7" spans="1:12" s="48" customFormat="1" ht="30" customHeight="1">
      <c r="A7" s="42" t="s">
        <v>15</v>
      </c>
      <c r="B7" s="65" t="s">
        <v>17</v>
      </c>
      <c r="C7" s="65" t="s">
        <v>38</v>
      </c>
      <c r="D7" s="66" t="s">
        <v>36</v>
      </c>
      <c r="E7" s="67" t="s">
        <v>37</v>
      </c>
      <c r="F7" s="68" t="s">
        <v>16</v>
      </c>
      <c r="H7" s="49">
        <v>4</v>
      </c>
      <c r="I7" s="2" t="s">
        <v>208</v>
      </c>
      <c r="J7" s="51">
        <f>C10</f>
        <v>200</v>
      </c>
      <c r="K7" s="60" t="s">
        <v>69</v>
      </c>
      <c r="L7" s="50"/>
    </row>
    <row r="8" spans="1:12" ht="21.75" customHeight="1">
      <c r="A8" s="53">
        <v>1</v>
      </c>
      <c r="B8" s="4" t="s">
        <v>138</v>
      </c>
      <c r="C8" s="70">
        <v>400</v>
      </c>
      <c r="D8" s="70">
        <v>40</v>
      </c>
      <c r="E8" s="71" t="s">
        <v>18</v>
      </c>
      <c r="F8" s="72" t="s">
        <v>233</v>
      </c>
      <c r="H8" s="49">
        <v>5</v>
      </c>
      <c r="I8" s="2" t="s">
        <v>207</v>
      </c>
      <c r="J8" s="51">
        <f>D10</f>
        <v>20</v>
      </c>
      <c r="K8" s="60" t="s">
        <v>69</v>
      </c>
      <c r="L8" s="50"/>
    </row>
    <row r="9" spans="1:12" ht="48.75" customHeight="1">
      <c r="A9" s="53">
        <v>2</v>
      </c>
      <c r="B9" s="3" t="s">
        <v>85</v>
      </c>
      <c r="C9" s="70">
        <v>0.5</v>
      </c>
      <c r="D9" s="73">
        <v>0.5</v>
      </c>
      <c r="E9" s="74" t="s">
        <v>20</v>
      </c>
      <c r="F9" s="75"/>
      <c r="H9" s="49">
        <v>6</v>
      </c>
      <c r="I9" s="6" t="s">
        <v>246</v>
      </c>
      <c r="J9" s="76">
        <f>1/2.86</f>
        <v>0.3496503496503497</v>
      </c>
      <c r="K9" s="60"/>
      <c r="L9" s="59" t="s">
        <v>216</v>
      </c>
    </row>
    <row r="10" spans="1:12" ht="30" customHeight="1">
      <c r="A10" s="53">
        <v>3</v>
      </c>
      <c r="B10" s="1" t="s">
        <v>62</v>
      </c>
      <c r="C10" s="77">
        <f>C8*C9</f>
        <v>200</v>
      </c>
      <c r="D10" s="77">
        <f>D8*D9</f>
        <v>20</v>
      </c>
      <c r="E10" s="71" t="s">
        <v>43</v>
      </c>
      <c r="F10" s="69" t="s">
        <v>134</v>
      </c>
      <c r="H10" s="49">
        <v>7</v>
      </c>
      <c r="I10" s="2" t="s">
        <v>209</v>
      </c>
      <c r="J10" s="78">
        <f>J5-J9*J7-0.05*(J7-J8)</f>
        <v>-23.930069930069934</v>
      </c>
      <c r="K10" s="60" t="s">
        <v>69</v>
      </c>
      <c r="L10" s="79" t="s">
        <v>221</v>
      </c>
    </row>
    <row r="11" spans="1:12" ht="21.75" customHeight="1">
      <c r="A11" s="53">
        <v>4</v>
      </c>
      <c r="B11" s="7" t="s">
        <v>21</v>
      </c>
      <c r="C11" s="70">
        <v>250</v>
      </c>
      <c r="D11" s="70">
        <v>20</v>
      </c>
      <c r="E11" s="71" t="s">
        <v>18</v>
      </c>
      <c r="F11" s="59" t="s">
        <v>193</v>
      </c>
      <c r="H11" s="49">
        <v>8</v>
      </c>
      <c r="I11" s="1" t="s">
        <v>9</v>
      </c>
      <c r="J11" s="78">
        <f>J10-J6</f>
        <v>-43.93006993006993</v>
      </c>
      <c r="K11" s="60" t="s">
        <v>69</v>
      </c>
      <c r="L11" s="59" t="s">
        <v>217</v>
      </c>
    </row>
    <row r="12" spans="1:12" ht="21.75" customHeight="1">
      <c r="A12" s="53">
        <v>5</v>
      </c>
      <c r="B12" s="3" t="s">
        <v>22</v>
      </c>
      <c r="C12" s="70">
        <v>55</v>
      </c>
      <c r="D12" s="70">
        <v>20</v>
      </c>
      <c r="E12" s="71" t="s">
        <v>18</v>
      </c>
      <c r="F12" s="69" t="s">
        <v>135</v>
      </c>
      <c r="H12" s="49">
        <v>9</v>
      </c>
      <c r="I12" s="2" t="s">
        <v>210</v>
      </c>
      <c r="J12" s="80">
        <f>2.86*J11</f>
        <v>-125.64</v>
      </c>
      <c r="K12" s="60" t="s">
        <v>69</v>
      </c>
      <c r="L12" s="59" t="s">
        <v>218</v>
      </c>
    </row>
    <row r="13" spans="1:12" ht="21.75" customHeight="1">
      <c r="A13" s="53">
        <v>6</v>
      </c>
      <c r="B13" s="3" t="s">
        <v>73</v>
      </c>
      <c r="C13" s="70">
        <v>50</v>
      </c>
      <c r="D13" s="70">
        <v>8</v>
      </c>
      <c r="E13" s="71" t="s">
        <v>18</v>
      </c>
      <c r="F13" s="69" t="s">
        <v>136</v>
      </c>
      <c r="H13" s="49">
        <v>10</v>
      </c>
      <c r="I13" s="2" t="s">
        <v>215</v>
      </c>
      <c r="J13" s="78">
        <f>J4*J12/1000</f>
        <v>-12564</v>
      </c>
      <c r="K13" s="60" t="s">
        <v>3</v>
      </c>
      <c r="L13" s="59" t="s">
        <v>211</v>
      </c>
    </row>
    <row r="14" spans="1:12" ht="30" customHeight="1">
      <c r="A14" s="53">
        <v>7</v>
      </c>
      <c r="B14" s="1" t="s">
        <v>63</v>
      </c>
      <c r="C14" s="70">
        <v>40</v>
      </c>
      <c r="D14" s="70">
        <v>8</v>
      </c>
      <c r="E14" s="71" t="s">
        <v>18</v>
      </c>
      <c r="F14" s="69" t="s">
        <v>137</v>
      </c>
      <c r="H14" s="49">
        <v>11</v>
      </c>
      <c r="I14" s="2" t="s">
        <v>212</v>
      </c>
      <c r="J14" s="81">
        <v>0.52</v>
      </c>
      <c r="K14" s="52" t="s">
        <v>213</v>
      </c>
      <c r="L14" s="82" t="s">
        <v>234</v>
      </c>
    </row>
    <row r="15" spans="1:12" ht="21.75" customHeight="1">
      <c r="A15" s="53">
        <v>8</v>
      </c>
      <c r="B15" s="2" t="s">
        <v>194</v>
      </c>
      <c r="C15" s="70">
        <v>5</v>
      </c>
      <c r="D15" s="70">
        <v>1</v>
      </c>
      <c r="E15" s="71" t="s">
        <v>18</v>
      </c>
      <c r="F15" s="50"/>
      <c r="H15" s="49">
        <v>12</v>
      </c>
      <c r="I15" s="1" t="s">
        <v>71</v>
      </c>
      <c r="J15" s="83">
        <f>J13/J14</f>
        <v>-24161.53846153846</v>
      </c>
      <c r="K15" s="60" t="s">
        <v>3</v>
      </c>
      <c r="L15" s="50"/>
    </row>
    <row r="16" spans="1:12" ht="21.75" customHeight="1">
      <c r="A16" s="53">
        <v>9</v>
      </c>
      <c r="B16" s="2" t="s">
        <v>195</v>
      </c>
      <c r="C16" s="70">
        <v>7</v>
      </c>
      <c r="D16" s="70">
        <v>7</v>
      </c>
      <c r="E16" s="71" t="s">
        <v>20</v>
      </c>
      <c r="F16" s="59"/>
      <c r="H16" s="49">
        <v>13</v>
      </c>
      <c r="I16" s="8" t="s">
        <v>219</v>
      </c>
      <c r="J16" s="81">
        <v>2600</v>
      </c>
      <c r="K16" s="84" t="s">
        <v>5</v>
      </c>
      <c r="L16" s="50"/>
    </row>
    <row r="17" spans="1:12" ht="31.5" customHeight="1">
      <c r="A17" s="53">
        <v>10</v>
      </c>
      <c r="B17" s="9" t="s">
        <v>168</v>
      </c>
      <c r="C17" s="54">
        <v>250</v>
      </c>
      <c r="D17" s="85" t="s">
        <v>166</v>
      </c>
      <c r="E17" s="71" t="s">
        <v>18</v>
      </c>
      <c r="F17" s="86"/>
      <c r="H17" s="49">
        <v>14</v>
      </c>
      <c r="I17" s="10" t="s">
        <v>72</v>
      </c>
      <c r="J17" s="87">
        <f>J16*J15/J4/1000</f>
        <v>-0.6282000000000001</v>
      </c>
      <c r="K17" s="60" t="s">
        <v>5</v>
      </c>
      <c r="L17" s="88" t="s">
        <v>240</v>
      </c>
    </row>
    <row r="18" spans="1:12" ht="21.75" customHeight="1">
      <c r="A18" s="53">
        <v>11</v>
      </c>
      <c r="B18" s="11" t="s">
        <v>56</v>
      </c>
      <c r="C18" s="89">
        <v>15</v>
      </c>
      <c r="D18" s="90" t="s">
        <v>142</v>
      </c>
      <c r="E18" s="91" t="s">
        <v>55</v>
      </c>
      <c r="F18" s="92"/>
      <c r="J18" s="33"/>
      <c r="K18" s="33"/>
      <c r="L18" s="33"/>
    </row>
    <row r="19" spans="1:12" s="94" customFormat="1" ht="45" customHeight="1">
      <c r="A19" s="53">
        <v>12</v>
      </c>
      <c r="B19" s="5" t="s">
        <v>86</v>
      </c>
      <c r="C19" s="93">
        <v>1</v>
      </c>
      <c r="D19" s="86" t="s">
        <v>143</v>
      </c>
      <c r="E19" s="64" t="s">
        <v>76</v>
      </c>
      <c r="F19" s="69" t="s">
        <v>116</v>
      </c>
      <c r="H19" s="95" t="s">
        <v>243</v>
      </c>
      <c r="I19" s="34"/>
      <c r="J19" s="34"/>
      <c r="K19" s="34"/>
      <c r="L19" s="34"/>
    </row>
    <row r="20" spans="1:12" s="94" customFormat="1" ht="46.5" customHeight="1">
      <c r="A20" s="53">
        <v>13</v>
      </c>
      <c r="B20" s="5" t="s">
        <v>91</v>
      </c>
      <c r="C20" s="93">
        <v>0.6</v>
      </c>
      <c r="D20" s="86" t="s">
        <v>144</v>
      </c>
      <c r="E20" s="50" t="s">
        <v>14</v>
      </c>
      <c r="F20" s="64" t="s">
        <v>90</v>
      </c>
      <c r="H20" s="39" t="s">
        <v>6</v>
      </c>
      <c r="I20" s="41" t="s">
        <v>225</v>
      </c>
      <c r="J20" s="39" t="s">
        <v>2</v>
      </c>
      <c r="K20" s="39" t="s">
        <v>1</v>
      </c>
      <c r="L20" s="41" t="s">
        <v>7</v>
      </c>
    </row>
    <row r="21" spans="1:12" s="94" customFormat="1" ht="87" customHeight="1">
      <c r="A21" s="53">
        <v>14</v>
      </c>
      <c r="B21" s="12" t="s">
        <v>196</v>
      </c>
      <c r="C21" s="54">
        <v>0.06</v>
      </c>
      <c r="D21" s="86" t="s">
        <v>145</v>
      </c>
      <c r="E21" s="64" t="s">
        <v>59</v>
      </c>
      <c r="F21" s="59" t="s">
        <v>117</v>
      </c>
      <c r="G21" s="96"/>
      <c r="H21" s="97">
        <v>1</v>
      </c>
      <c r="I21" s="72" t="s">
        <v>226</v>
      </c>
      <c r="J21" s="98">
        <v>0.2</v>
      </c>
      <c r="K21" s="99" t="s">
        <v>119</v>
      </c>
      <c r="L21" s="100" t="s">
        <v>244</v>
      </c>
    </row>
    <row r="22" spans="1:12" s="94" customFormat="1" ht="26.25" customHeight="1">
      <c r="A22" s="53">
        <v>15</v>
      </c>
      <c r="B22" s="12" t="s">
        <v>31</v>
      </c>
      <c r="C22" s="93">
        <v>0.04</v>
      </c>
      <c r="D22" s="86" t="s">
        <v>146</v>
      </c>
      <c r="E22" s="50" t="s">
        <v>59</v>
      </c>
      <c r="F22" s="64" t="s">
        <v>12</v>
      </c>
      <c r="H22" s="97">
        <v>2</v>
      </c>
      <c r="I22" s="72" t="s">
        <v>227</v>
      </c>
      <c r="J22" s="101">
        <f>C23</f>
        <v>4000</v>
      </c>
      <c r="K22" s="50" t="s">
        <v>4</v>
      </c>
      <c r="L22" s="102"/>
    </row>
    <row r="23" spans="1:12" s="94" customFormat="1" ht="35.25" customHeight="1">
      <c r="A23" s="53">
        <v>16</v>
      </c>
      <c r="B23" s="5" t="s">
        <v>13</v>
      </c>
      <c r="C23" s="93">
        <v>4000</v>
      </c>
      <c r="D23" s="86" t="s">
        <v>147</v>
      </c>
      <c r="E23" s="50" t="s">
        <v>4</v>
      </c>
      <c r="F23" s="103" t="s">
        <v>77</v>
      </c>
      <c r="G23" s="96"/>
      <c r="H23" s="97">
        <v>3</v>
      </c>
      <c r="I23" s="72" t="s">
        <v>228</v>
      </c>
      <c r="J23" s="104">
        <f>B5*(C10-D10)/(J21*J22)</f>
        <v>22500</v>
      </c>
      <c r="K23" s="105" t="s">
        <v>231</v>
      </c>
      <c r="L23" s="106" t="s">
        <v>230</v>
      </c>
    </row>
    <row r="24" spans="1:12" s="94" customFormat="1" ht="29.25" customHeight="1">
      <c r="A24" s="53">
        <v>17</v>
      </c>
      <c r="B24" s="14" t="s">
        <v>48</v>
      </c>
      <c r="C24" s="93">
        <v>0.7</v>
      </c>
      <c r="D24" s="107" t="s">
        <v>148</v>
      </c>
      <c r="E24" s="108" t="s">
        <v>47</v>
      </c>
      <c r="F24" s="109" t="s">
        <v>68</v>
      </c>
      <c r="G24" s="96"/>
      <c r="H24" s="97">
        <v>4</v>
      </c>
      <c r="I24" s="72" t="s">
        <v>229</v>
      </c>
      <c r="J24" s="98">
        <v>50</v>
      </c>
      <c r="K24" s="105" t="s">
        <v>45</v>
      </c>
      <c r="L24" s="72" t="s">
        <v>232</v>
      </c>
    </row>
    <row r="25" spans="1:11" s="94" customFormat="1" ht="27.75" customHeight="1">
      <c r="A25" s="53">
        <v>18</v>
      </c>
      <c r="B25" s="15" t="s">
        <v>109</v>
      </c>
      <c r="C25" s="110">
        <f>C23*C24</f>
        <v>2800</v>
      </c>
      <c r="D25" s="86" t="s">
        <v>149</v>
      </c>
      <c r="E25" s="50" t="s">
        <v>4</v>
      </c>
      <c r="F25" s="109"/>
      <c r="G25" s="96"/>
      <c r="H25" s="111"/>
      <c r="J25" s="112"/>
      <c r="K25" s="113"/>
    </row>
    <row r="26" spans="1:11" ht="30" customHeight="1">
      <c r="A26" s="35" t="s">
        <v>23</v>
      </c>
      <c r="B26" s="36"/>
      <c r="C26" s="36"/>
      <c r="D26" s="36"/>
      <c r="E26" s="36"/>
      <c r="F26" s="114"/>
      <c r="H26" s="115"/>
      <c r="I26" s="115"/>
      <c r="J26" s="112"/>
      <c r="K26" s="116"/>
    </row>
    <row r="27" spans="1:12" s="48" customFormat="1" ht="30" customHeight="1">
      <c r="A27" s="42" t="s">
        <v>15</v>
      </c>
      <c r="B27" s="117" t="s">
        <v>0</v>
      </c>
      <c r="C27" s="117" t="s">
        <v>24</v>
      </c>
      <c r="D27" s="118" t="s">
        <v>2</v>
      </c>
      <c r="E27" s="119" t="s">
        <v>1</v>
      </c>
      <c r="F27" s="120" t="s">
        <v>7</v>
      </c>
      <c r="H27" s="121"/>
      <c r="I27" s="121"/>
      <c r="J27" s="122"/>
      <c r="K27" s="123"/>
      <c r="L27" s="121"/>
    </row>
    <row r="28" spans="1:12" s="48" customFormat="1" ht="30" customHeight="1">
      <c r="A28" s="124" t="s">
        <v>40</v>
      </c>
      <c r="B28" s="124"/>
      <c r="C28" s="124"/>
      <c r="D28" s="124"/>
      <c r="E28" s="124"/>
      <c r="F28" s="124"/>
      <c r="H28" s="121"/>
      <c r="I28" s="121"/>
      <c r="J28" s="122"/>
      <c r="K28" s="123"/>
      <c r="L28" s="121"/>
    </row>
    <row r="29" spans="1:12" s="128" customFormat="1" ht="30" customHeight="1">
      <c r="A29" s="53">
        <v>1</v>
      </c>
      <c r="B29" s="17" t="s">
        <v>25</v>
      </c>
      <c r="C29" s="18" t="s">
        <v>92</v>
      </c>
      <c r="D29" s="125">
        <f>0.47*EXP(0.098*(C18-15))</f>
        <v>0.47</v>
      </c>
      <c r="E29" s="126" t="s">
        <v>60</v>
      </c>
      <c r="F29" s="127" t="s">
        <v>75</v>
      </c>
      <c r="H29" s="115"/>
      <c r="I29" s="116"/>
      <c r="J29" s="112"/>
      <c r="K29" s="116"/>
      <c r="L29" s="116"/>
    </row>
    <row r="30" spans="1:11" ht="45.75" customHeight="1">
      <c r="A30" s="53">
        <v>2</v>
      </c>
      <c r="B30" s="17" t="s">
        <v>26</v>
      </c>
      <c r="C30" s="18" t="s">
        <v>78</v>
      </c>
      <c r="D30" s="125">
        <f>D29*D14/(1+D14)</f>
        <v>0.41777777777777775</v>
      </c>
      <c r="E30" s="126" t="s">
        <v>60</v>
      </c>
      <c r="F30" s="59" t="s">
        <v>197</v>
      </c>
      <c r="H30" s="115"/>
      <c r="I30" s="115"/>
      <c r="J30" s="112"/>
      <c r="K30" s="116"/>
    </row>
    <row r="31" spans="1:11" ht="30" customHeight="1">
      <c r="A31" s="53">
        <v>3</v>
      </c>
      <c r="B31" s="17" t="s">
        <v>32</v>
      </c>
      <c r="C31" s="13" t="s">
        <v>80</v>
      </c>
      <c r="D31" s="125">
        <f>C22*POWER(1.05,(C18-20))</f>
        <v>0.03134104665873836</v>
      </c>
      <c r="E31" s="126" t="s">
        <v>60</v>
      </c>
      <c r="F31" s="59" t="s">
        <v>198</v>
      </c>
      <c r="H31" s="115"/>
      <c r="I31" s="115"/>
      <c r="J31" s="112"/>
      <c r="K31" s="116"/>
    </row>
    <row r="32" spans="1:11" ht="30" customHeight="1">
      <c r="A32" s="53">
        <v>4</v>
      </c>
      <c r="B32" s="7" t="s">
        <v>33</v>
      </c>
      <c r="C32" s="18" t="s">
        <v>81</v>
      </c>
      <c r="D32" s="125">
        <f>1/(D30-D31)</f>
        <v>2.5877457277526665</v>
      </c>
      <c r="E32" s="126" t="s">
        <v>60</v>
      </c>
      <c r="F32" s="129"/>
      <c r="H32" s="115"/>
      <c r="I32" s="115"/>
      <c r="J32" s="112"/>
      <c r="K32" s="116"/>
    </row>
    <row r="33" spans="1:6" ht="21.75" customHeight="1">
      <c r="A33" s="53">
        <v>5</v>
      </c>
      <c r="B33" s="7" t="s">
        <v>27</v>
      </c>
      <c r="C33" s="19" t="s">
        <v>28</v>
      </c>
      <c r="D33" s="70">
        <v>3</v>
      </c>
      <c r="E33" s="126" t="s">
        <v>19</v>
      </c>
      <c r="F33" s="129" t="s">
        <v>30</v>
      </c>
    </row>
    <row r="34" spans="1:6" ht="30" customHeight="1">
      <c r="A34" s="53">
        <v>6</v>
      </c>
      <c r="B34" s="13" t="s">
        <v>98</v>
      </c>
      <c r="C34" s="20" t="s">
        <v>99</v>
      </c>
      <c r="D34" s="132">
        <f>D32*D33</f>
        <v>7.763237183257999</v>
      </c>
      <c r="E34" s="126" t="s">
        <v>29</v>
      </c>
      <c r="F34" s="50"/>
    </row>
    <row r="35" spans="1:6" ht="30" customHeight="1">
      <c r="A35" s="53">
        <v>7</v>
      </c>
      <c r="B35" s="13" t="s">
        <v>74</v>
      </c>
      <c r="C35" s="13" t="s">
        <v>79</v>
      </c>
      <c r="D35" s="133">
        <f>B5*(C10-D10)*D34*C19/C23</f>
        <v>34934.567324660995</v>
      </c>
      <c r="E35" s="134" t="s">
        <v>82</v>
      </c>
      <c r="F35" s="50"/>
    </row>
    <row r="36" spans="1:6" ht="30" customHeight="1">
      <c r="A36" s="53">
        <v>8</v>
      </c>
      <c r="B36" s="13" t="s">
        <v>94</v>
      </c>
      <c r="C36" s="13" t="s">
        <v>95</v>
      </c>
      <c r="D36" s="133">
        <f>24*D35/B5</f>
        <v>8.384296157918639</v>
      </c>
      <c r="E36" s="134" t="s">
        <v>52</v>
      </c>
      <c r="F36" s="50"/>
    </row>
    <row r="37" spans="1:6" ht="30" customHeight="1">
      <c r="A37" s="53">
        <v>9</v>
      </c>
      <c r="B37" s="21" t="s">
        <v>186</v>
      </c>
      <c r="C37" s="13" t="s">
        <v>83</v>
      </c>
      <c r="D37" s="136">
        <f>B5*(C14-D14)/D35/C25</f>
        <v>0.03271422062383402</v>
      </c>
      <c r="E37" s="137" t="s">
        <v>122</v>
      </c>
      <c r="F37" s="50"/>
    </row>
    <row r="38" spans="1:6" ht="47.25" customHeight="1">
      <c r="A38" s="53">
        <v>10</v>
      </c>
      <c r="B38" s="21" t="s">
        <v>199</v>
      </c>
      <c r="C38" s="22" t="s">
        <v>165</v>
      </c>
      <c r="D38" s="138">
        <v>0.6</v>
      </c>
      <c r="E38" s="137"/>
      <c r="F38" s="59" t="s">
        <v>201</v>
      </c>
    </row>
    <row r="39" spans="1:6" ht="37.5" customHeight="1">
      <c r="A39" s="53">
        <v>11</v>
      </c>
      <c r="B39" s="21" t="s">
        <v>185</v>
      </c>
      <c r="C39" s="13" t="s">
        <v>84</v>
      </c>
      <c r="D39" s="139">
        <f>B5*(D38*C10-D10)/D35/C25</f>
        <v>0.10223193944948132</v>
      </c>
      <c r="E39" s="137" t="s">
        <v>120</v>
      </c>
      <c r="F39" s="59" t="s">
        <v>200</v>
      </c>
    </row>
    <row r="40" spans="1:12" s="48" customFormat="1" ht="30" customHeight="1">
      <c r="A40" s="140" t="s">
        <v>39</v>
      </c>
      <c r="B40" s="141"/>
      <c r="C40" s="141"/>
      <c r="D40" s="141"/>
      <c r="E40" s="141"/>
      <c r="F40" s="141"/>
      <c r="J40" s="142"/>
      <c r="K40" s="143"/>
      <c r="L40" s="121"/>
    </row>
    <row r="41" spans="1:12" s="48" customFormat="1" ht="30" customHeight="1">
      <c r="A41" s="42" t="s">
        <v>15</v>
      </c>
      <c r="B41" s="16" t="s">
        <v>0</v>
      </c>
      <c r="C41" s="16" t="s">
        <v>11</v>
      </c>
      <c r="D41" s="118" t="s">
        <v>2</v>
      </c>
      <c r="E41" s="119" t="s">
        <v>1</v>
      </c>
      <c r="F41" s="120" t="s">
        <v>7</v>
      </c>
      <c r="J41" s="142"/>
      <c r="K41" s="143"/>
      <c r="L41" s="121"/>
    </row>
    <row r="42" spans="1:6" ht="40.5" customHeight="1">
      <c r="A42" s="53">
        <v>1</v>
      </c>
      <c r="B42" s="13" t="s">
        <v>97</v>
      </c>
      <c r="C42" s="23" t="s">
        <v>237</v>
      </c>
      <c r="D42" s="145">
        <f>C21*1.08^(C18-20)</f>
        <v>0.04083499182202518</v>
      </c>
      <c r="E42" s="137" t="s">
        <v>121</v>
      </c>
      <c r="F42" s="146" t="s">
        <v>87</v>
      </c>
    </row>
    <row r="43" spans="1:6" ht="40.5" customHeight="1">
      <c r="A43" s="53">
        <v>2</v>
      </c>
      <c r="B43" s="13" t="s">
        <v>88</v>
      </c>
      <c r="C43" s="24" t="s">
        <v>102</v>
      </c>
      <c r="D43" s="125">
        <f>C20*B5*(C10-D10)/1000</f>
        <v>10800</v>
      </c>
      <c r="E43" s="134" t="s">
        <v>89</v>
      </c>
      <c r="F43" s="146"/>
    </row>
    <row r="44" spans="1:6" ht="21.75" customHeight="1">
      <c r="A44" s="53">
        <v>3</v>
      </c>
      <c r="B44" s="25" t="s">
        <v>169</v>
      </c>
      <c r="C44" s="25" t="s">
        <v>170</v>
      </c>
      <c r="D44" s="125">
        <v>1.3</v>
      </c>
      <c r="E44" s="134"/>
      <c r="F44" s="146"/>
    </row>
    <row r="45" spans="1:6" ht="43.5" customHeight="1">
      <c r="A45" s="53">
        <v>4</v>
      </c>
      <c r="B45" s="13" t="s">
        <v>50</v>
      </c>
      <c r="C45" s="13" t="s">
        <v>101</v>
      </c>
      <c r="D45" s="133">
        <f>D44*1000*(0.001*B5*(C13-D12)-0.12*D43)/D42/C23</f>
        <v>13561.898148864006</v>
      </c>
      <c r="E45" s="126" t="s">
        <v>64</v>
      </c>
      <c r="F45" s="148" t="s">
        <v>242</v>
      </c>
    </row>
    <row r="46" spans="1:6" ht="30" customHeight="1">
      <c r="A46" s="53">
        <v>5</v>
      </c>
      <c r="B46" s="13" t="s">
        <v>51</v>
      </c>
      <c r="C46" s="13" t="s">
        <v>96</v>
      </c>
      <c r="D46" s="133">
        <f>24*D45/B5</f>
        <v>3.2548555557273615</v>
      </c>
      <c r="E46" s="134" t="s">
        <v>52</v>
      </c>
      <c r="F46" s="50"/>
    </row>
    <row r="47" spans="1:6" ht="30" customHeight="1">
      <c r="A47" s="53">
        <v>6</v>
      </c>
      <c r="B47" s="26" t="s">
        <v>202</v>
      </c>
      <c r="C47" s="18" t="s">
        <v>100</v>
      </c>
      <c r="D47" s="125">
        <f>0.001*C25*D45/D43</f>
        <v>3.516047668224002</v>
      </c>
      <c r="E47" s="134" t="s">
        <v>29</v>
      </c>
      <c r="F47" s="149"/>
    </row>
    <row r="48" spans="1:6" ht="30" customHeight="1">
      <c r="A48" s="53">
        <v>7</v>
      </c>
      <c r="B48" s="21" t="s">
        <v>203</v>
      </c>
      <c r="C48" s="21" t="s">
        <v>204</v>
      </c>
      <c r="D48" s="132">
        <f>B5*(C10-D38*D10)/D45/C25</f>
        <v>0.4950845110754742</v>
      </c>
      <c r="E48" s="137" t="s">
        <v>120</v>
      </c>
      <c r="F48" s="150" t="s">
        <v>164</v>
      </c>
    </row>
    <row r="49" spans="1:6" ht="30" customHeight="1">
      <c r="A49" s="53">
        <v>8</v>
      </c>
      <c r="B49" s="27" t="s">
        <v>124</v>
      </c>
      <c r="C49" s="27" t="s">
        <v>131</v>
      </c>
      <c r="D49" s="132">
        <v>5</v>
      </c>
      <c r="E49" s="137" t="s">
        <v>126</v>
      </c>
      <c r="F49" s="69" t="s">
        <v>125</v>
      </c>
    </row>
    <row r="50" spans="1:6" ht="21.75" customHeight="1">
      <c r="A50" s="53">
        <v>9</v>
      </c>
      <c r="B50" s="27" t="s">
        <v>127</v>
      </c>
      <c r="C50" s="27" t="s">
        <v>130</v>
      </c>
      <c r="D50" s="152">
        <v>12</v>
      </c>
      <c r="E50" s="137" t="s">
        <v>128</v>
      </c>
      <c r="F50" s="69"/>
    </row>
    <row r="51" spans="1:6" ht="21.75" customHeight="1">
      <c r="A51" s="53">
        <v>10</v>
      </c>
      <c r="B51" s="21" t="s">
        <v>187</v>
      </c>
      <c r="C51" s="27" t="s">
        <v>132</v>
      </c>
      <c r="D51" s="132">
        <f>D49*D45/D50/1000</f>
        <v>5.650790895360003</v>
      </c>
      <c r="E51" s="137" t="s">
        <v>129</v>
      </c>
      <c r="F51" s="69"/>
    </row>
    <row r="52" spans="1:12" s="48" customFormat="1" ht="30" customHeight="1">
      <c r="A52" s="153" t="s">
        <v>115</v>
      </c>
      <c r="B52" s="141"/>
      <c r="C52" s="141"/>
      <c r="D52" s="141"/>
      <c r="E52" s="141"/>
      <c r="F52" s="141"/>
      <c r="J52" s="142"/>
      <c r="K52" s="143"/>
      <c r="L52" s="121"/>
    </row>
    <row r="53" spans="1:6" ht="30" customHeight="1">
      <c r="A53" s="53">
        <v>1</v>
      </c>
      <c r="B53" s="103" t="s">
        <v>103</v>
      </c>
      <c r="C53" s="151" t="s">
        <v>111</v>
      </c>
      <c r="D53" s="132">
        <f>B5*(C10-D10)/(D35+D45)/C23</f>
        <v>0.09279026741560417</v>
      </c>
      <c r="E53" s="137" t="s">
        <v>119</v>
      </c>
      <c r="F53" s="154" t="s">
        <v>133</v>
      </c>
    </row>
    <row r="54" spans="1:6" ht="30" customHeight="1">
      <c r="A54" s="53">
        <v>2</v>
      </c>
      <c r="B54" s="103" t="s">
        <v>105</v>
      </c>
      <c r="C54" s="151" t="s">
        <v>110</v>
      </c>
      <c r="D54" s="132">
        <f>B5*(C12-D12)/(D35+D45)/C23</f>
        <v>0.01804255199747859</v>
      </c>
      <c r="E54" s="137" t="s">
        <v>118</v>
      </c>
      <c r="F54" s="155" t="s">
        <v>112</v>
      </c>
    </row>
    <row r="55" spans="1:6" ht="30" customHeight="1">
      <c r="A55" s="53">
        <v>3</v>
      </c>
      <c r="B55" s="144" t="s">
        <v>235</v>
      </c>
      <c r="C55" s="131" t="s">
        <v>113</v>
      </c>
      <c r="D55" s="125">
        <f>D34+D47</f>
        <v>11.279284851482</v>
      </c>
      <c r="E55" s="137" t="s">
        <v>29</v>
      </c>
      <c r="F55" s="150" t="s">
        <v>236</v>
      </c>
    </row>
    <row r="56" spans="1:6" ht="30" customHeight="1">
      <c r="A56" s="53">
        <v>4</v>
      </c>
      <c r="B56" s="103" t="s">
        <v>106</v>
      </c>
      <c r="C56" s="151" t="s">
        <v>114</v>
      </c>
      <c r="D56" s="125">
        <f>D36+D46</f>
        <v>11.639151713646001</v>
      </c>
      <c r="E56" s="137" t="s">
        <v>52</v>
      </c>
      <c r="F56" s="59" t="s">
        <v>222</v>
      </c>
    </row>
    <row r="57" spans="1:6" ht="30" customHeight="1">
      <c r="A57" s="53">
        <v>5</v>
      </c>
      <c r="B57" s="151" t="s">
        <v>150</v>
      </c>
      <c r="C57" s="151" t="s">
        <v>154</v>
      </c>
      <c r="D57" s="70">
        <v>20</v>
      </c>
      <c r="E57" s="137" t="s">
        <v>45</v>
      </c>
      <c r="F57" s="59" t="s">
        <v>175</v>
      </c>
    </row>
    <row r="58" spans="1:6" ht="21.75" customHeight="1">
      <c r="A58" s="53">
        <v>6</v>
      </c>
      <c r="B58" s="151" t="s">
        <v>156</v>
      </c>
      <c r="C58" s="151" t="s">
        <v>159</v>
      </c>
      <c r="D58" s="156">
        <f>D57*B5/100</f>
        <v>20000</v>
      </c>
      <c r="E58" s="137" t="s">
        <v>157</v>
      </c>
      <c r="F58" s="69"/>
    </row>
    <row r="59" spans="1:6" ht="21.75" customHeight="1">
      <c r="A59" s="53">
        <v>7</v>
      </c>
      <c r="B59" s="151" t="s">
        <v>151</v>
      </c>
      <c r="C59" s="151" t="s">
        <v>152</v>
      </c>
      <c r="D59" s="157">
        <v>150</v>
      </c>
      <c r="E59" s="137"/>
      <c r="F59" s="59" t="s">
        <v>155</v>
      </c>
    </row>
    <row r="60" spans="1:6" ht="30" customHeight="1">
      <c r="A60" s="53">
        <v>8</v>
      </c>
      <c r="B60" s="151" t="s">
        <v>153</v>
      </c>
      <c r="C60" s="151" t="s">
        <v>158</v>
      </c>
      <c r="D60" s="125">
        <f>1000000/D59</f>
        <v>6666.666666666667</v>
      </c>
      <c r="E60" s="137" t="s">
        <v>43</v>
      </c>
      <c r="F60" s="158" t="s">
        <v>160</v>
      </c>
    </row>
    <row r="61" spans="1:6" ht="30" customHeight="1">
      <c r="A61" s="53">
        <v>9</v>
      </c>
      <c r="B61" s="103" t="s">
        <v>104</v>
      </c>
      <c r="C61" s="151" t="s">
        <v>123</v>
      </c>
      <c r="D61" s="125">
        <f>D45*D42*C23/(C12-D13)-D58</f>
        <v>27131.91489361703</v>
      </c>
      <c r="E61" s="137" t="s">
        <v>157</v>
      </c>
      <c r="F61" s="129"/>
    </row>
    <row r="62" spans="1:6" ht="30" customHeight="1">
      <c r="A62" s="53">
        <v>10</v>
      </c>
      <c r="B62" s="151" t="s">
        <v>107</v>
      </c>
      <c r="C62" s="151" t="s">
        <v>162</v>
      </c>
      <c r="D62" s="125">
        <f>100*D61/B5</f>
        <v>27.13191489361703</v>
      </c>
      <c r="E62" s="137" t="s">
        <v>45</v>
      </c>
      <c r="F62" s="129"/>
    </row>
    <row r="63" spans="1:6" ht="30" customHeight="1">
      <c r="A63" s="53">
        <v>11</v>
      </c>
      <c r="B63" s="151" t="s">
        <v>161</v>
      </c>
      <c r="C63" s="151" t="s">
        <v>163</v>
      </c>
      <c r="D63" s="125">
        <f>D57+D62</f>
        <v>47.13191489361703</v>
      </c>
      <c r="E63" s="137" t="s">
        <v>45</v>
      </c>
      <c r="F63" s="159" t="s">
        <v>176</v>
      </c>
    </row>
    <row r="64" spans="1:6" ht="72" customHeight="1">
      <c r="A64" s="53">
        <v>12</v>
      </c>
      <c r="B64" s="147" t="s">
        <v>108</v>
      </c>
      <c r="C64" s="144" t="s">
        <v>238</v>
      </c>
      <c r="D64" s="160">
        <f>C17+0.3*(C10-D10)+3*(C12-D12)-7.14*(C13-D13)</f>
        <v>109.12</v>
      </c>
      <c r="E64" s="161" t="s">
        <v>43</v>
      </c>
      <c r="F64" s="147" t="s">
        <v>167</v>
      </c>
    </row>
    <row r="65" spans="1:12" s="48" customFormat="1" ht="30" customHeight="1">
      <c r="A65" s="141" t="s">
        <v>41</v>
      </c>
      <c r="B65" s="141"/>
      <c r="C65" s="141"/>
      <c r="D65" s="141"/>
      <c r="E65" s="141"/>
      <c r="F65" s="141"/>
      <c r="J65" s="142"/>
      <c r="K65" s="143"/>
      <c r="L65" s="121"/>
    </row>
    <row r="66" spans="1:12" s="48" customFormat="1" ht="30" customHeight="1">
      <c r="A66" s="42" t="s">
        <v>15</v>
      </c>
      <c r="B66" s="117" t="s">
        <v>0</v>
      </c>
      <c r="C66" s="117" t="s">
        <v>11</v>
      </c>
      <c r="D66" s="118" t="s">
        <v>2</v>
      </c>
      <c r="E66" s="119" t="s">
        <v>1</v>
      </c>
      <c r="F66" s="120" t="s">
        <v>7</v>
      </c>
      <c r="J66" s="142"/>
      <c r="K66" s="143"/>
      <c r="L66" s="121"/>
    </row>
    <row r="67" spans="1:6" ht="21.75" customHeight="1">
      <c r="A67" s="53">
        <v>1</v>
      </c>
      <c r="B67" s="135" t="s">
        <v>171</v>
      </c>
      <c r="C67" s="135" t="s">
        <v>172</v>
      </c>
      <c r="D67" s="70">
        <v>1.5</v>
      </c>
      <c r="E67" s="126" t="s">
        <v>57</v>
      </c>
      <c r="F67" s="159" t="s">
        <v>173</v>
      </c>
    </row>
    <row r="68" spans="1:6" ht="30" customHeight="1">
      <c r="A68" s="53">
        <v>2</v>
      </c>
      <c r="B68" s="162" t="s">
        <v>58</v>
      </c>
      <c r="C68" s="135" t="s">
        <v>174</v>
      </c>
      <c r="D68" s="163">
        <f>D67*B5/24</f>
        <v>6250</v>
      </c>
      <c r="E68" s="126" t="s">
        <v>65</v>
      </c>
      <c r="F68" s="50"/>
    </row>
    <row r="69" spans="1:12" s="48" customFormat="1" ht="30" customHeight="1">
      <c r="A69" s="141" t="s">
        <v>42</v>
      </c>
      <c r="B69" s="141"/>
      <c r="C69" s="141"/>
      <c r="D69" s="141"/>
      <c r="E69" s="141"/>
      <c r="F69" s="141"/>
      <c r="J69" s="142"/>
      <c r="K69" s="143"/>
      <c r="L69" s="121"/>
    </row>
    <row r="70" spans="1:12" s="48" customFormat="1" ht="30" customHeight="1">
      <c r="A70" s="42" t="s">
        <v>15</v>
      </c>
      <c r="B70" s="117" t="s">
        <v>0</v>
      </c>
      <c r="C70" s="117" t="s">
        <v>11</v>
      </c>
      <c r="D70" s="118" t="s">
        <v>2</v>
      </c>
      <c r="E70" s="119" t="s">
        <v>1</v>
      </c>
      <c r="F70" s="120" t="s">
        <v>7</v>
      </c>
      <c r="J70" s="142"/>
      <c r="K70" s="143"/>
      <c r="L70" s="121"/>
    </row>
    <row r="71" spans="1:6" ht="30" customHeight="1">
      <c r="A71" s="53">
        <v>1</v>
      </c>
      <c r="B71" s="135" t="s">
        <v>177</v>
      </c>
      <c r="C71" s="144" t="s">
        <v>239</v>
      </c>
      <c r="D71" s="145">
        <f>0.06*1.05^(C18-20)</f>
        <v>0.047011569988107536</v>
      </c>
      <c r="E71" s="126" t="s">
        <v>61</v>
      </c>
      <c r="F71" s="159" t="s">
        <v>178</v>
      </c>
    </row>
    <row r="72" spans="1:11" ht="21.75" customHeight="1">
      <c r="A72" s="164">
        <v>2</v>
      </c>
      <c r="B72" s="165" t="s">
        <v>46</v>
      </c>
      <c r="C72" s="166" t="s">
        <v>205</v>
      </c>
      <c r="D72" s="163">
        <f>C20*B5*(C10-D10)/1000-D71*D35*C25/1000+0.5*B5*(C11-D11)/1000</f>
        <v>17701.479200994847</v>
      </c>
      <c r="E72" s="126" t="s">
        <v>61</v>
      </c>
      <c r="F72" s="167" t="s">
        <v>181</v>
      </c>
      <c r="G72" s="168"/>
      <c r="H72" s="169"/>
      <c r="I72" s="169"/>
      <c r="J72" s="170"/>
      <c r="K72" s="171"/>
    </row>
    <row r="73" spans="1:11" ht="21.75" customHeight="1">
      <c r="A73" s="53">
        <v>3</v>
      </c>
      <c r="B73" s="59" t="s">
        <v>179</v>
      </c>
      <c r="C73" s="166" t="s">
        <v>183</v>
      </c>
      <c r="D73" s="138">
        <v>99</v>
      </c>
      <c r="E73" s="126" t="s">
        <v>49</v>
      </c>
      <c r="F73" s="172"/>
      <c r="G73" s="168"/>
      <c r="H73" s="169"/>
      <c r="I73" s="169"/>
      <c r="J73" s="170"/>
      <c r="K73" s="171"/>
    </row>
    <row r="74" spans="1:11" ht="21.75" customHeight="1">
      <c r="A74" s="164">
        <v>4</v>
      </c>
      <c r="B74" s="59" t="s">
        <v>180</v>
      </c>
      <c r="C74" s="59" t="s">
        <v>206</v>
      </c>
      <c r="D74" s="163">
        <f>D72/(1-D73/100)/1000</f>
        <v>1770.1479200994831</v>
      </c>
      <c r="E74" s="126" t="s">
        <v>66</v>
      </c>
      <c r="F74" s="167" t="s">
        <v>192</v>
      </c>
      <c r="G74" s="168"/>
      <c r="H74" s="169"/>
      <c r="I74" s="169"/>
      <c r="J74" s="170"/>
      <c r="K74" s="171"/>
    </row>
    <row r="75" spans="1:9" ht="21.75" customHeight="1">
      <c r="A75" s="53">
        <v>5</v>
      </c>
      <c r="B75" s="59" t="s">
        <v>182</v>
      </c>
      <c r="C75" s="166" t="s">
        <v>184</v>
      </c>
      <c r="D75" s="138">
        <v>97</v>
      </c>
      <c r="E75" s="126" t="s">
        <v>45</v>
      </c>
      <c r="F75" s="50"/>
      <c r="H75" s="173"/>
      <c r="I75" s="173"/>
    </row>
    <row r="76" spans="1:6" ht="30" customHeight="1">
      <c r="A76" s="164">
        <v>6</v>
      </c>
      <c r="B76" s="59" t="s">
        <v>189</v>
      </c>
      <c r="C76" s="59" t="s">
        <v>190</v>
      </c>
      <c r="D76" s="163">
        <f>D72/(1-D75/100)/1000</f>
        <v>590.0493066998276</v>
      </c>
      <c r="E76" s="126" t="s">
        <v>66</v>
      </c>
      <c r="F76" s="167" t="s">
        <v>191</v>
      </c>
    </row>
    <row r="77" spans="1:6" ht="30" customHeight="1">
      <c r="A77" s="53">
        <v>7</v>
      </c>
      <c r="B77" s="59" t="s">
        <v>188</v>
      </c>
      <c r="C77" s="174" t="s">
        <v>223</v>
      </c>
      <c r="D77" s="125">
        <f>0.001*(D35+D45+D68)*C23/D72</f>
        <v>12.371048735960592</v>
      </c>
      <c r="E77" s="60" t="s">
        <v>54</v>
      </c>
      <c r="F77" s="59" t="s">
        <v>224</v>
      </c>
    </row>
  </sheetData>
  <sheetProtection password="C0C4" sheet="1" insertColumns="0" insertRows="0" deleteColumns="0" deleteRows="0" selectLockedCells="1"/>
  <mergeCells count="12">
    <mergeCell ref="A69:F69"/>
    <mergeCell ref="A2:F2"/>
    <mergeCell ref="A3:F3"/>
    <mergeCell ref="A6:F6"/>
    <mergeCell ref="A26:F26"/>
    <mergeCell ref="A28:F28"/>
    <mergeCell ref="A1:F1"/>
    <mergeCell ref="A52:F52"/>
    <mergeCell ref="H19:L19"/>
    <mergeCell ref="H2:L2"/>
    <mergeCell ref="A40:F40"/>
    <mergeCell ref="A65:F65"/>
  </mergeCell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wuhong</dc:creator>
  <cp:keywords/>
  <dc:description/>
  <cp:lastModifiedBy>洪 吴</cp:lastModifiedBy>
  <cp:lastPrinted>2020-02-17T05:57:50Z</cp:lastPrinted>
  <dcterms:created xsi:type="dcterms:W3CDTF">2007-11-12T23:35:48Z</dcterms:created>
  <dcterms:modified xsi:type="dcterms:W3CDTF">2024-03-11T07:33:06Z</dcterms:modified>
  <cp:category/>
  <cp:version/>
  <cp:contentType/>
  <cp:contentStatus/>
</cp:coreProperties>
</file>